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trlProps/ctrlProp3.xml" ContentType="application/vnd.ms-excel.controlproperties+xml"/>
  <Override PartName="/xl/charts/chart3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Abteilung3\Referat_31\03_Statistik\05_Infodienst\B_Daten und Fakten\4_Landwirtschaft\4_2_Bodennutzung\4_2_1_Anbau auf dem Ackerland\"/>
    </mc:Choice>
  </mc:AlternateContent>
  <bookViews>
    <workbookView xWindow="120" yWindow="120" windowWidth="15180" windowHeight="8835"/>
  </bookViews>
  <sheets>
    <sheet name="Diagramm Einzelkultur" sheetId="4" r:id="rId1"/>
    <sheet name="Diagramm Verteilung" sheetId="1" r:id="rId2"/>
    <sheet name="Daten Kulturen" sheetId="6" r:id="rId3"/>
  </sheets>
  <definedNames>
    <definedName name="_xlnm.Print_Area" localSheetId="2">'Daten Kulturen'!$A$1:$V$77</definedName>
    <definedName name="_xlnm.Print_Area" localSheetId="0">'Diagramm Einzelkultur'!$B$3:$M$63</definedName>
    <definedName name="_xlnm.Print_Area" localSheetId="1">'Diagramm Verteilung'!$B$1:$H$24</definedName>
  </definedNames>
  <calcPr calcId="162913"/>
</workbook>
</file>

<file path=xl/calcChain.xml><?xml version="1.0" encoding="utf-8"?>
<calcChain xmlns="http://schemas.openxmlformats.org/spreadsheetml/2006/main">
  <c r="AI77" i="6" l="1"/>
  <c r="BY103" i="6" s="1"/>
  <c r="AI76" i="6"/>
  <c r="BX103" i="6" s="1"/>
  <c r="AI75" i="6"/>
  <c r="BW103" i="6" s="1"/>
  <c r="M88" i="6" l="1"/>
  <c r="M82" i="6"/>
  <c r="K85" i="6"/>
  <c r="M93" i="6"/>
  <c r="L106" i="4" s="1"/>
  <c r="M106" i="4"/>
  <c r="O106" i="4"/>
  <c r="D90" i="6"/>
  <c r="D93" i="6" s="1"/>
  <c r="C106" i="4" s="1"/>
  <c r="E90" i="6"/>
  <c r="E93" i="6" s="1"/>
  <c r="D106" i="4" s="1"/>
  <c r="F90" i="6"/>
  <c r="F93" i="6" s="1"/>
  <c r="E106" i="4" s="1"/>
  <c r="G90" i="6"/>
  <c r="G93" i="6" s="1"/>
  <c r="F106" i="4" s="1"/>
  <c r="H90" i="6"/>
  <c r="H93" i="6" s="1"/>
  <c r="G106" i="4" s="1"/>
  <c r="I90" i="6"/>
  <c r="I93" i="6" s="1"/>
  <c r="H106" i="4" s="1"/>
  <c r="J90" i="6"/>
  <c r="J93" i="6" s="1"/>
  <c r="I106" i="4" s="1"/>
  <c r="K90" i="6"/>
  <c r="K93" i="6" s="1"/>
  <c r="J106" i="4" s="1"/>
  <c r="L90" i="6"/>
  <c r="L93" i="6" s="1"/>
  <c r="K106" i="4" s="1"/>
  <c r="C63" i="4"/>
  <c r="C61" i="4"/>
  <c r="C62" i="4"/>
  <c r="C24" i="1"/>
  <c r="AI59" i="6"/>
  <c r="BG103" i="6" s="1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G26" i="6"/>
  <c r="F26" i="6"/>
  <c r="Z9" i="6"/>
  <c r="Y11" i="6"/>
  <c r="Y12" i="6"/>
  <c r="Y13" i="6"/>
  <c r="Y14" i="6"/>
  <c r="Z13" i="6"/>
  <c r="Q55" i="6"/>
  <c r="T55" i="6"/>
  <c r="Z3" i="6"/>
  <c r="AD4" i="6"/>
  <c r="Z4" i="6"/>
  <c r="I5" i="6"/>
  <c r="I8" i="6"/>
  <c r="I7" i="6"/>
  <c r="E6" i="6"/>
  <c r="AI6" i="6" s="1"/>
  <c r="F103" i="6" s="1"/>
  <c r="J4" i="6"/>
  <c r="AG4" i="6"/>
  <c r="I4" i="6"/>
  <c r="H4" i="6"/>
  <c r="G4" i="6"/>
  <c r="F4" i="6"/>
  <c r="AD10" i="6"/>
  <c r="AD15" i="6"/>
  <c r="AD20" i="6"/>
  <c r="AD25" i="6"/>
  <c r="AD26" i="6"/>
  <c r="AD27" i="6"/>
  <c r="AD28" i="6"/>
  <c r="AD29" i="6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AI74" i="6"/>
  <c r="AI73" i="6"/>
  <c r="AI72" i="6"/>
  <c r="AI71" i="6"/>
  <c r="AI70" i="6"/>
  <c r="AI69" i="6"/>
  <c r="AI68" i="6"/>
  <c r="AI67" i="6"/>
  <c r="E88" i="6" s="1"/>
  <c r="AI66" i="6"/>
  <c r="AI65" i="6"/>
  <c r="J82" i="6" s="1"/>
  <c r="AI64" i="6"/>
  <c r="AI63" i="6"/>
  <c r="BK103" i="6" s="1"/>
  <c r="AI62" i="6"/>
  <c r="AI61" i="6"/>
  <c r="AI60" i="6"/>
  <c r="AI58" i="6"/>
  <c r="AI57" i="6"/>
  <c r="AI56" i="6"/>
  <c r="AI55" i="6"/>
  <c r="I85" i="6" s="1"/>
  <c r="AI54" i="6"/>
  <c r="G82" i="6" s="1"/>
  <c r="AI53" i="6"/>
  <c r="BA103" i="6" s="1"/>
  <c r="AI52" i="6"/>
  <c r="AZ103" i="6" s="1"/>
  <c r="AI51" i="6"/>
  <c r="AY103" i="6" s="1"/>
  <c r="AI50" i="6"/>
  <c r="F82" i="6" s="1"/>
  <c r="AI49" i="6"/>
  <c r="AW103" i="6" s="1"/>
  <c r="AI48" i="6"/>
  <c r="AV103" i="6" s="1"/>
  <c r="AI47" i="6"/>
  <c r="AU103" i="6" s="1"/>
  <c r="AI46" i="6"/>
  <c r="E82" i="6" s="1"/>
  <c r="AI45" i="6"/>
  <c r="H85" i="6" s="1"/>
  <c r="AI44" i="6"/>
  <c r="AR103" i="6" s="1"/>
  <c r="AI43" i="6"/>
  <c r="AQ103" i="6" s="1"/>
  <c r="AI42" i="6"/>
  <c r="D82" i="6" s="1"/>
  <c r="AI41" i="6"/>
  <c r="AO103" i="6" s="1"/>
  <c r="AI40" i="6"/>
  <c r="AN103" i="6" s="1"/>
  <c r="AI39" i="6"/>
  <c r="AM103" i="6" s="1"/>
  <c r="AI38" i="6"/>
  <c r="AL103" i="6" s="1"/>
  <c r="AI37" i="6"/>
  <c r="AK103" i="6" s="1"/>
  <c r="AI36" i="6"/>
  <c r="AJ103" i="6" s="1"/>
  <c r="AI35" i="6"/>
  <c r="G85" i="6" s="1"/>
  <c r="AI34" i="6"/>
  <c r="AI33" i="6"/>
  <c r="AG103" i="6" s="1"/>
  <c r="AI32" i="6"/>
  <c r="AF103" i="6" s="1"/>
  <c r="AI31" i="6"/>
  <c r="AE103" i="6" s="1"/>
  <c r="AI30" i="6"/>
  <c r="AD103" i="6" s="1"/>
  <c r="AI29" i="6"/>
  <c r="AC103" i="6" s="1"/>
  <c r="AI28" i="6"/>
  <c r="AB103" i="6" s="1"/>
  <c r="AI27" i="6"/>
  <c r="AA103" i="6" s="1"/>
  <c r="AI26" i="6"/>
  <c r="Z103" i="6" s="1"/>
  <c r="AI25" i="6"/>
  <c r="F85" i="6" s="1"/>
  <c r="AI24" i="6"/>
  <c r="X103" i="6" s="1"/>
  <c r="AI23" i="6"/>
  <c r="W103" i="6" s="1"/>
  <c r="AI22" i="6"/>
  <c r="V103" i="6" s="1"/>
  <c r="AI21" i="6"/>
  <c r="U103" i="6" s="1"/>
  <c r="AI20" i="6"/>
  <c r="T103" i="6" s="1"/>
  <c r="AI19" i="6"/>
  <c r="S103" i="6" s="1"/>
  <c r="AI18" i="6"/>
  <c r="R103" i="6" s="1"/>
  <c r="AI17" i="6"/>
  <c r="Q103" i="6" s="1"/>
  <c r="AI16" i="6"/>
  <c r="P103" i="6" s="1"/>
  <c r="AI15" i="6"/>
  <c r="O103" i="6" s="1"/>
  <c r="AI14" i="6"/>
  <c r="N103" i="6" s="1"/>
  <c r="AI13" i="6"/>
  <c r="M103" i="6" s="1"/>
  <c r="AI12" i="6"/>
  <c r="L103" i="6" s="1"/>
  <c r="AI11" i="6"/>
  <c r="K103" i="6" s="1"/>
  <c r="AI10" i="6"/>
  <c r="J103" i="6" s="1"/>
  <c r="AI9" i="6"/>
  <c r="I103" i="6" s="1"/>
  <c r="AI8" i="6"/>
  <c r="H103" i="6" s="1"/>
  <c r="AI7" i="6"/>
  <c r="G103" i="6" s="1"/>
  <c r="B97" i="6"/>
  <c r="B2" i="1" s="1"/>
  <c r="G71" i="4"/>
  <c r="G70" i="4"/>
  <c r="G69" i="4"/>
  <c r="G68" i="4"/>
  <c r="AI1" i="6"/>
  <c r="AI5" i="6"/>
  <c r="E103" i="6" s="1"/>
  <c r="AI3" i="6"/>
  <c r="AI2" i="6"/>
  <c r="A2" i="6"/>
  <c r="A3" i="6" s="1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N66" i="6"/>
  <c r="K82" i="6" l="1"/>
  <c r="F88" i="6"/>
  <c r="BQ103" i="6"/>
  <c r="G88" i="6"/>
  <c r="BR103" i="6"/>
  <c r="H88" i="6"/>
  <c r="BN103" i="6"/>
  <c r="D88" i="6"/>
  <c r="N88" i="6" s="1"/>
  <c r="BU103" i="6"/>
  <c r="K88" i="6"/>
  <c r="BV103" i="6"/>
  <c r="L88" i="6"/>
  <c r="L82" i="6"/>
  <c r="I88" i="6"/>
  <c r="BT103" i="6"/>
  <c r="J88" i="6"/>
  <c r="N82" i="6"/>
  <c r="BJ103" i="6"/>
  <c r="I82" i="6"/>
  <c r="H82" i="6"/>
  <c r="BP103" i="6"/>
  <c r="E67" i="4"/>
  <c r="K67" i="4"/>
  <c r="B5" i="4" s="1"/>
  <c r="BM103" i="6"/>
  <c r="E4" i="6"/>
  <c r="AI4" i="6" s="1"/>
  <c r="D103" i="6" s="1"/>
  <c r="D106" i="6" s="1" a="1"/>
  <c r="D106" i="6" s="1"/>
  <c r="BS103" i="6"/>
  <c r="AI103" i="6"/>
  <c r="BC103" i="6"/>
  <c r="D91" i="6"/>
  <c r="D94" i="6" s="1"/>
  <c r="C107" i="4" s="1"/>
  <c r="AT103" i="6"/>
  <c r="I91" i="6"/>
  <c r="BI103" i="6"/>
  <c r="A35" i="6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BE103" i="6"/>
  <c r="AS103" i="6"/>
  <c r="E85" i="6"/>
  <c r="BL103" i="6"/>
  <c r="D105" i="6" s="1"/>
  <c r="G91" i="6"/>
  <c r="G94" i="6" s="1"/>
  <c r="F107" i="4" s="1"/>
  <c r="F91" i="6"/>
  <c r="F94" i="6" s="1"/>
  <c r="E107" i="4" s="1"/>
  <c r="Y103" i="6"/>
  <c r="D85" i="6"/>
  <c r="N85" i="6" s="1"/>
  <c r="L91" i="6"/>
  <c r="H91" i="6"/>
  <c r="H94" i="6" s="1"/>
  <c r="G107" i="4" s="1"/>
  <c r="BH103" i="6"/>
  <c r="J91" i="6"/>
  <c r="BD103" i="6"/>
  <c r="M91" i="6"/>
  <c r="BF103" i="6"/>
  <c r="BB103" i="6"/>
  <c r="BO103" i="6"/>
  <c r="E91" i="6"/>
  <c r="E94" i="6" s="1"/>
  <c r="D107" i="4" s="1"/>
  <c r="AH103" i="6"/>
  <c r="J85" i="6"/>
  <c r="AP103" i="6"/>
  <c r="AX103" i="6"/>
  <c r="K91" i="6"/>
  <c r="D107" i="6" l="1"/>
  <c r="K61" i="4" s="1"/>
  <c r="N91" i="6"/>
  <c r="N94" i="6" s="1"/>
  <c r="K31" i="4" s="1"/>
  <c r="I94" i="6"/>
  <c r="H107" i="4" s="1"/>
  <c r="H97" i="6"/>
  <c r="G97" i="6"/>
  <c r="J97" i="6"/>
  <c r="E97" i="6"/>
  <c r="I97" i="6"/>
  <c r="F97" i="6"/>
  <c r="D97" i="6"/>
  <c r="H22" i="1" s="1"/>
  <c r="K94" i="6"/>
  <c r="J107" i="4" s="1"/>
  <c r="L94" i="6"/>
  <c r="K107" i="4" s="1"/>
  <c r="J94" i="6"/>
  <c r="I107" i="4" s="1"/>
  <c r="M94" i="6"/>
  <c r="L107" i="4" s="1"/>
  <c r="L61" i="4" l="1"/>
  <c r="E98" i="6"/>
  <c r="H98" i="6"/>
  <c r="F98" i="6"/>
  <c r="J98" i="6"/>
  <c r="M107" i="4"/>
  <c r="G98" i="6"/>
  <c r="O107" i="4"/>
  <c r="I98" i="6"/>
  <c r="L31" i="4"/>
</calcChain>
</file>

<file path=xl/comments1.xml><?xml version="1.0" encoding="utf-8"?>
<comments xmlns="http://schemas.openxmlformats.org/spreadsheetml/2006/main">
  <authors>
    <author>Müller, Richard (LEL)</author>
    <author>Stock, Martina (LEL-SG)</author>
  </authors>
  <commentList>
    <comment ref="L2" authorId="0" shapeId="0">
      <text>
        <r>
          <rPr>
            <b/>
            <sz val="8"/>
            <color indexed="81"/>
            <rFont val="Tahoma"/>
            <family val="2"/>
          </rPr>
          <t>Müller, Richard (LEL):</t>
        </r>
        <r>
          <rPr>
            <sz val="8"/>
            <color indexed="81"/>
            <rFont val="Tahoma"/>
            <family val="2"/>
          </rPr>
          <t xml:space="preserve">
einschl. Körnermais
</t>
        </r>
      </text>
    </comment>
    <comment ref="V2" authorId="0" shapeId="0">
      <text>
        <r>
          <rPr>
            <b/>
            <sz val="8"/>
            <color indexed="81"/>
            <rFont val="Tahoma"/>
            <family val="2"/>
          </rPr>
          <t>Müller, Richard (LEL):</t>
        </r>
        <r>
          <rPr>
            <sz val="8"/>
            <color indexed="81"/>
            <rFont val="Tahoma"/>
            <family val="2"/>
          </rPr>
          <t xml:space="preserve">
zusammen</t>
        </r>
      </text>
    </comment>
    <comment ref="W2" authorId="0" shapeId="0">
      <text>
        <r>
          <rPr>
            <b/>
            <sz val="8"/>
            <color indexed="81"/>
            <rFont val="Tahoma"/>
            <family val="2"/>
          </rPr>
          <t>Müller, Richard (LEL):</t>
        </r>
        <r>
          <rPr>
            <sz val="8"/>
            <color indexed="81"/>
            <rFont val="Tahoma"/>
            <family val="2"/>
          </rPr>
          <t xml:space="preserve">
Fläche im Ertrag (Erntefläche)
</t>
        </r>
      </text>
    </comment>
    <comment ref="Z2" authorId="1" shapeId="0">
      <text>
        <r>
          <rPr>
            <b/>
            <sz val="9"/>
            <color indexed="81"/>
            <rFont val="Segoe UI"/>
            <charset val="1"/>
          </rPr>
          <t>Stock, Martina (LEL-SG):</t>
        </r>
        <r>
          <rPr>
            <sz val="9"/>
            <color indexed="81"/>
            <rFont val="Segoe UI"/>
            <charset val="1"/>
          </rPr>
          <t xml:space="preserve">
Winterraps</t>
        </r>
      </text>
    </comment>
    <comment ref="AD2" authorId="0" shapeId="0">
      <text>
        <r>
          <rPr>
            <b/>
            <sz val="8"/>
            <color indexed="81"/>
            <rFont val="Tahoma"/>
            <family val="2"/>
          </rPr>
          <t>Müller, Richard (LEL):</t>
        </r>
        <r>
          <rPr>
            <sz val="8"/>
            <color indexed="81"/>
            <rFont val="Tahoma"/>
            <family val="2"/>
          </rPr>
          <t xml:space="preserve">
Ackerwiesen</t>
        </r>
      </text>
    </comment>
    <comment ref="AG2" authorId="1" shapeId="0">
      <text>
        <r>
          <rPr>
            <b/>
            <sz val="9"/>
            <color indexed="81"/>
            <rFont val="Segoe UI"/>
            <charset val="1"/>
          </rPr>
          <t>Stock, Martina (LEL-SG):</t>
        </r>
        <r>
          <rPr>
            <sz val="9"/>
            <color indexed="81"/>
            <rFont val="Segoe UI"/>
            <charset val="1"/>
          </rPr>
          <t xml:space="preserve">
Haus- und Nutzgärten
</t>
        </r>
      </text>
    </comment>
    <comment ref="Z34" authorId="0" shapeId="0">
      <text>
        <r>
          <rPr>
            <b/>
            <sz val="8"/>
            <color indexed="81"/>
            <rFont val="Tahoma"/>
            <family val="2"/>
          </rPr>
          <t>Müller, Richard (LEL):</t>
        </r>
        <r>
          <rPr>
            <sz val="8"/>
            <color indexed="81"/>
            <rFont val="Tahoma"/>
            <family val="2"/>
          </rPr>
          <t xml:space="preserve">
Winter- und Sommerfrucht</t>
        </r>
      </text>
    </comment>
    <comment ref="AG46" authorId="0" shapeId="0">
      <text>
        <r>
          <rPr>
            <b/>
            <sz val="8"/>
            <color indexed="81"/>
            <rFont val="Tahoma"/>
            <family val="2"/>
          </rPr>
          <t>Müller, Richard (LEL):</t>
        </r>
        <r>
          <rPr>
            <sz val="8"/>
            <color indexed="81"/>
            <rFont val="Tahoma"/>
            <family val="2"/>
          </rPr>
          <t xml:space="preserve">
Haus- und Nutzgarten
</t>
        </r>
      </text>
    </comment>
    <comment ref="AB66" authorId="0" shapeId="0">
      <text>
        <r>
          <rPr>
            <b/>
            <sz val="8"/>
            <color indexed="81"/>
            <rFont val="Tahoma"/>
            <family val="2"/>
          </rPr>
          <t>Müller, Richard (LEL):</t>
        </r>
        <r>
          <rPr>
            <sz val="8"/>
            <color indexed="81"/>
            <rFont val="Tahoma"/>
            <family val="2"/>
          </rPr>
          <t xml:space="preserve">
Keine Daten verfügbar</t>
        </r>
      </text>
    </comment>
    <comment ref="AB67" authorId="0" shapeId="0">
      <text>
        <r>
          <rPr>
            <b/>
            <sz val="8"/>
            <color indexed="81"/>
            <rFont val="Tahoma"/>
            <family val="2"/>
          </rPr>
          <t>Müller, Richard (LEL):</t>
        </r>
        <r>
          <rPr>
            <sz val="8"/>
            <color indexed="81"/>
            <rFont val="Tahoma"/>
            <family val="2"/>
          </rPr>
          <t xml:space="preserve">
Keine Daten verfügbar</t>
        </r>
      </text>
    </comment>
    <comment ref="AB68" authorId="0" shapeId="0">
      <text>
        <r>
          <rPr>
            <b/>
            <sz val="8"/>
            <color indexed="81"/>
            <rFont val="Tahoma"/>
            <family val="2"/>
          </rPr>
          <t>Müller, Richard (LEL):</t>
        </r>
        <r>
          <rPr>
            <sz val="8"/>
            <color indexed="81"/>
            <rFont val="Tahoma"/>
            <family val="2"/>
          </rPr>
          <t xml:space="preserve">
Keine Daten verfügbar</t>
        </r>
      </text>
    </comment>
    <comment ref="AB69" authorId="0" shapeId="0">
      <text>
        <r>
          <rPr>
            <sz val="8"/>
            <color indexed="81"/>
            <rFont val="Tahoma"/>
            <family val="2"/>
          </rPr>
          <t>BBZ 50/2015, S.13, Artikel Dieter Fink</t>
        </r>
      </text>
    </comment>
    <comment ref="AB70" authorId="0" shapeId="0">
      <text>
        <r>
          <rPr>
            <sz val="8"/>
            <color indexed="81"/>
            <rFont val="Tahoma"/>
            <family val="2"/>
          </rPr>
          <t>BBZ 50/2015, S.13, Artikel Dieter Fink</t>
        </r>
      </text>
    </comment>
    <comment ref="AB72" authorId="0" shapeId="0">
      <text>
        <r>
          <rPr>
            <b/>
            <sz val="8"/>
            <color indexed="81"/>
            <rFont val="Tahoma"/>
            <family val="2"/>
          </rPr>
          <t>Müller, Richard (LEL):</t>
        </r>
        <r>
          <rPr>
            <sz val="8"/>
            <color indexed="81"/>
            <rFont val="Tahoma"/>
            <family val="2"/>
          </rPr>
          <t xml:space="preserve">
Keine Daten verfügbar</t>
        </r>
      </text>
    </comment>
  </commentList>
</comments>
</file>

<file path=xl/sharedStrings.xml><?xml version="1.0" encoding="utf-8"?>
<sst xmlns="http://schemas.openxmlformats.org/spreadsheetml/2006/main" count="78" uniqueCount="55">
  <si>
    <t>Gerste</t>
  </si>
  <si>
    <t>Getreide</t>
  </si>
  <si>
    <t xml:space="preserve">Ackerland </t>
  </si>
  <si>
    <t>Silomais</t>
  </si>
  <si>
    <t>Jahr</t>
  </si>
  <si>
    <t>Weizen</t>
  </si>
  <si>
    <t>Hackfrüchte</t>
  </si>
  <si>
    <t>Hülsenfrüchte</t>
  </si>
  <si>
    <t>Futterpflanzen</t>
  </si>
  <si>
    <t>Brache</t>
  </si>
  <si>
    <t>Gartenbauerzeugnisse</t>
  </si>
  <si>
    <t>Handelsgewächse</t>
  </si>
  <si>
    <t>Pflanzen zur Grünernte</t>
  </si>
  <si>
    <t>Zuckerrüben</t>
  </si>
  <si>
    <t>Hopfen</t>
  </si>
  <si>
    <t>Tabak</t>
  </si>
  <si>
    <t>Grasanbau</t>
  </si>
  <si>
    <t>Körnermais, CCM</t>
  </si>
  <si>
    <t>Kartoffeln</t>
  </si>
  <si>
    <t>Obstanlagen</t>
  </si>
  <si>
    <t>Gartenland</t>
  </si>
  <si>
    <t>Dauergrünland</t>
  </si>
  <si>
    <t>Anbau in Baden-Württemberg</t>
  </si>
  <si>
    <t>nach Agrarstrukturerhebungen</t>
  </si>
  <si>
    <t>nach Jahrzehnten</t>
  </si>
  <si>
    <t>Ackerland</t>
  </si>
  <si>
    <t>in der letzten Dekade</t>
  </si>
  <si>
    <t>in den letzten 10 Jahren</t>
  </si>
  <si>
    <t>ha</t>
  </si>
  <si>
    <t>Ölfrüchte</t>
  </si>
  <si>
    <t>Baumschulen</t>
  </si>
  <si>
    <t>Wiesen</t>
  </si>
  <si>
    <t>Weiden</t>
  </si>
  <si>
    <t>1 Repräsentativergebnisse; übrige Jahre ab 1979: allgemeine Ergebnisse</t>
  </si>
  <si>
    <t>Landwirtschaftlich genutzte Fläche  (LF, LN)</t>
  </si>
  <si>
    <t>Rebland</t>
  </si>
  <si>
    <t>Körnerraps</t>
  </si>
  <si>
    <t>im gesamten Zeitraum</t>
  </si>
  <si>
    <t>Entwicklung seit 1949</t>
  </si>
  <si>
    <t>Vergleichbarkeit der Daten aufgrund Änderungen der Erfassungsgrenzen und der Methodik nicht gewährleistet.</t>
  </si>
  <si>
    <t>Anbau auf dem Ackerland in Baden-Württemberg</t>
  </si>
  <si>
    <t xml:space="preserve"> Ackerland gesamt:</t>
  </si>
  <si>
    <t>Auswahl Kultur</t>
  </si>
  <si>
    <t>Auswahl Zeitraum</t>
  </si>
  <si>
    <t>*</t>
  </si>
  <si>
    <t>Erdbeeren</t>
  </si>
  <si>
    <t>Spargel</t>
  </si>
  <si>
    <t>Freilandgemüse</t>
  </si>
  <si>
    <t>letzter Wert der Zeile 101</t>
  </si>
  <si>
    <t>erster Wert der Zeile 101</t>
  </si>
  <si>
    <t>Differenz letzter:erster Wert</t>
  </si>
  <si>
    <t xml:space="preserve"> *</t>
  </si>
  <si>
    <t>Quelle: Statistisches Landesamt Baden-Württemberg</t>
  </si>
  <si>
    <t>Bearbeitung: LEL Schwäbisch Gmünd, Abt. 3, 08/2022</t>
  </si>
  <si>
    <t>Quelle: Statistisches Landesamt Baden-Württemberg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</si>
</sst>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0.0"/>
    <numFmt numFmtId="166" formatCode="#,##0\ &quot;ha&quot;"/>
    <numFmt numFmtId="167" formatCode="#,##0.0"/>
    <numFmt numFmtId="168" formatCode="General;General;"/>
    <numFmt numFmtId="169" formatCode="_-* #,##0.00\ [$€]_-;\-* #,##0.00\ [$€]_-;_-* &quot;-&quot;??\ [$€]_-;_-@_-"/>
  </numFmts>
  <fonts count="26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11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9"/>
      <name val="Verdana"/>
      <family val="2"/>
    </font>
    <font>
      <sz val="10"/>
      <color rgb="FFFF0000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Alignment="0"/>
  </cellStyleXfs>
  <cellXfs count="143">
    <xf numFmtId="0" fontId="0" fillId="0" borderId="0" xfId="0"/>
    <xf numFmtId="0" fontId="4" fillId="0" borderId="0" xfId="0" applyFon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0" fillId="0" borderId="0" xfId="0" applyNumberForma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Fill="1" applyBorder="1"/>
    <xf numFmtId="0" fontId="0" fillId="0" borderId="9" xfId="0" applyFill="1" applyBorder="1"/>
    <xf numFmtId="0" fontId="4" fillId="0" borderId="0" xfId="0" applyFont="1" applyFill="1" applyBorder="1"/>
    <xf numFmtId="0" fontId="0" fillId="0" borderId="10" xfId="0" applyBorder="1"/>
    <xf numFmtId="0" fontId="4" fillId="0" borderId="0" xfId="0" applyFont="1" applyBorder="1"/>
    <xf numFmtId="0" fontId="7" fillId="0" borderId="0" xfId="0" applyFont="1"/>
    <xf numFmtId="0" fontId="7" fillId="0" borderId="0" xfId="0" applyFont="1" applyAlignment="1">
      <alignment wrapText="1"/>
    </xf>
    <xf numFmtId="0" fontId="0" fillId="0" borderId="11" xfId="0" applyBorder="1"/>
    <xf numFmtId="0" fontId="4" fillId="0" borderId="11" xfId="0" applyFont="1" applyBorder="1"/>
    <xf numFmtId="0" fontId="0" fillId="2" borderId="12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4" fillId="0" borderId="0" xfId="0" applyFont="1" applyAlignment="1">
      <alignment horizontal="center" vertical="center" wrapText="1"/>
    </xf>
    <xf numFmtId="0" fontId="0" fillId="0" borderId="11" xfId="0" applyFill="1" applyBorder="1"/>
    <xf numFmtId="0" fontId="4" fillId="0" borderId="11" xfId="0" applyFont="1" applyFill="1" applyBorder="1"/>
    <xf numFmtId="167" fontId="8" fillId="0" borderId="11" xfId="4" applyNumberFormat="1" applyFont="1" applyFill="1" applyBorder="1"/>
    <xf numFmtId="167" fontId="8" fillId="4" borderId="11" xfId="4" applyNumberFormat="1" applyFont="1" applyFill="1" applyBorder="1"/>
    <xf numFmtId="167" fontId="0" fillId="0" borderId="11" xfId="0" applyNumberFormat="1" applyFill="1" applyBorder="1"/>
    <xf numFmtId="167" fontId="0" fillId="4" borderId="11" xfId="0" applyNumberFormat="1" applyFill="1" applyBorder="1"/>
    <xf numFmtId="167" fontId="0" fillId="0" borderId="11" xfId="4" applyNumberFormat="1" applyFont="1" applyFill="1" applyBorder="1"/>
    <xf numFmtId="0" fontId="0" fillId="3" borderId="11" xfId="0" applyFill="1" applyBorder="1"/>
    <xf numFmtId="165" fontId="0" fillId="2" borderId="12" xfId="0" applyNumberFormat="1" applyFill="1" applyBorder="1"/>
    <xf numFmtId="165" fontId="0" fillId="2" borderId="17" xfId="0" applyNumberFormat="1" applyFill="1" applyBorder="1"/>
    <xf numFmtId="165" fontId="0" fillId="2" borderId="18" xfId="0" applyNumberFormat="1" applyFill="1" applyBorder="1"/>
    <xf numFmtId="0" fontId="0" fillId="4" borderId="0" xfId="0" applyFill="1"/>
    <xf numFmtId="167" fontId="0" fillId="0" borderId="11" xfId="0" applyNumberFormat="1" applyBorder="1"/>
    <xf numFmtId="0" fontId="4" fillId="3" borderId="9" xfId="0" applyFont="1" applyFill="1" applyBorder="1"/>
    <xf numFmtId="167" fontId="4" fillId="0" borderId="0" xfId="0" applyNumberFormat="1" applyFont="1"/>
    <xf numFmtId="168" fontId="0" fillId="0" borderId="0" xfId="0" applyNumberFormat="1"/>
    <xf numFmtId="167" fontId="13" fillId="4" borderId="11" xfId="4" applyNumberFormat="1" applyFont="1" applyFill="1" applyBorder="1"/>
    <xf numFmtId="0" fontId="0" fillId="4" borderId="11" xfId="0" applyFill="1" applyBorder="1"/>
    <xf numFmtId="0" fontId="4" fillId="4" borderId="11" xfId="0" applyFont="1" applyFill="1" applyBorder="1"/>
    <xf numFmtId="167" fontId="14" fillId="4" borderId="11" xfId="4" applyNumberFormat="1" applyFont="1" applyFill="1" applyBorder="1"/>
    <xf numFmtId="0" fontId="0" fillId="0" borderId="19" xfId="0" applyFill="1" applyBorder="1"/>
    <xf numFmtId="0" fontId="4" fillId="0" borderId="19" xfId="0" applyFont="1" applyFill="1" applyBorder="1"/>
    <xf numFmtId="167" fontId="8" fillId="0" borderId="19" xfId="4" applyNumberFormat="1" applyFont="1" applyFill="1" applyBorder="1"/>
    <xf numFmtId="167" fontId="8" fillId="4" borderId="19" xfId="4" applyNumberFormat="1" applyFont="1" applyFill="1" applyBorder="1"/>
    <xf numFmtId="0" fontId="0" fillId="4" borderId="0" xfId="0" applyFill="1" applyBorder="1"/>
    <xf numFmtId="168" fontId="0" fillId="4" borderId="0" xfId="0" applyNumberFormat="1" applyFill="1" applyBorder="1"/>
    <xf numFmtId="0" fontId="4" fillId="0" borderId="5" xfId="0" applyFont="1" applyFill="1" applyBorder="1"/>
    <xf numFmtId="0" fontId="4" fillId="0" borderId="10" xfId="0" applyFont="1" applyFill="1" applyBorder="1"/>
    <xf numFmtId="0" fontId="4" fillId="0" borderId="6" xfId="0" applyFont="1" applyFill="1" applyBorder="1"/>
    <xf numFmtId="165" fontId="0" fillId="0" borderId="0" xfId="0" applyNumberFormat="1"/>
    <xf numFmtId="0" fontId="0" fillId="3" borderId="6" xfId="0" applyFill="1" applyBorder="1"/>
    <xf numFmtId="0" fontId="0" fillId="0" borderId="20" xfId="0" applyFill="1" applyBorder="1"/>
    <xf numFmtId="0" fontId="4" fillId="0" borderId="20" xfId="0" applyFont="1" applyFill="1" applyBorder="1"/>
    <xf numFmtId="167" fontId="8" fillId="0" borderId="20" xfId="4" applyNumberFormat="1" applyFont="1" applyFill="1" applyBorder="1"/>
    <xf numFmtId="167" fontId="8" fillId="4" borderId="20" xfId="4" applyNumberFormat="1" applyFont="1" applyFill="1" applyBorder="1"/>
    <xf numFmtId="0" fontId="0" fillId="0" borderId="21" xfId="0" applyFill="1" applyBorder="1"/>
    <xf numFmtId="0" fontId="4" fillId="0" borderId="21" xfId="0" applyFont="1" applyFill="1" applyBorder="1"/>
    <xf numFmtId="167" fontId="8" fillId="0" borderId="21" xfId="4" applyNumberFormat="1" applyFont="1" applyFill="1" applyBorder="1"/>
    <xf numFmtId="167" fontId="8" fillId="4" borderId="21" xfId="4" applyNumberFormat="1" applyFont="1" applyFill="1" applyBorder="1"/>
    <xf numFmtId="0" fontId="4" fillId="4" borderId="20" xfId="0" applyFont="1" applyFill="1" applyBorder="1"/>
    <xf numFmtId="167" fontId="0" fillId="4" borderId="20" xfId="0" applyNumberFormat="1" applyFill="1" applyBorder="1"/>
    <xf numFmtId="167" fontId="0" fillId="3" borderId="20" xfId="0" applyNumberFormat="1" applyFill="1" applyBorder="1"/>
    <xf numFmtId="0" fontId="4" fillId="4" borderId="21" xfId="0" applyFont="1" applyFill="1" applyBorder="1"/>
    <xf numFmtId="167" fontId="0" fillId="4" borderId="21" xfId="0" applyNumberFormat="1" applyFill="1" applyBorder="1"/>
    <xf numFmtId="0" fontId="0" fillId="4" borderId="20" xfId="0" applyFill="1" applyBorder="1"/>
    <xf numFmtId="167" fontId="14" fillId="4" borderId="20" xfId="4" applyNumberFormat="1" applyFont="1" applyFill="1" applyBorder="1"/>
    <xf numFmtId="167" fontId="13" fillId="4" borderId="20" xfId="4" applyNumberFormat="1" applyFont="1" applyFill="1" applyBorder="1"/>
    <xf numFmtId="0" fontId="0" fillId="4" borderId="21" xfId="0" applyFill="1" applyBorder="1"/>
    <xf numFmtId="167" fontId="14" fillId="4" borderId="21" xfId="4" applyNumberFormat="1" applyFont="1" applyFill="1" applyBorder="1"/>
    <xf numFmtId="167" fontId="13" fillId="4" borderId="21" xfId="4" applyNumberFormat="1" applyFont="1" applyFill="1" applyBorder="1"/>
    <xf numFmtId="0" fontId="0" fillId="4" borderId="5" xfId="0" applyFill="1" applyBorder="1"/>
    <xf numFmtId="0" fontId="0" fillId="4" borderId="10" xfId="0" applyFill="1" applyBorder="1"/>
    <xf numFmtId="0" fontId="0" fillId="4" borderId="6" xfId="0" applyFill="1" applyBorder="1"/>
    <xf numFmtId="0" fontId="0" fillId="4" borderId="3" xfId="0" applyFill="1" applyBorder="1"/>
    <xf numFmtId="0" fontId="0" fillId="4" borderId="4" xfId="0" applyFill="1" applyBorder="1"/>
    <xf numFmtId="167" fontId="12" fillId="4" borderId="11" xfId="4" applyNumberFormat="1" applyFont="1" applyFill="1" applyBorder="1"/>
    <xf numFmtId="0" fontId="4" fillId="3" borderId="20" xfId="0" applyFont="1" applyFill="1" applyBorder="1"/>
    <xf numFmtId="167" fontId="8" fillId="3" borderId="20" xfId="4" applyNumberFormat="1" applyFont="1" applyFill="1" applyBorder="1"/>
    <xf numFmtId="0" fontId="2" fillId="4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5" borderId="15" xfId="0" applyFill="1" applyBorder="1"/>
    <xf numFmtId="0" fontId="19" fillId="5" borderId="15" xfId="0" applyFont="1" applyFill="1" applyBorder="1" applyAlignment="1">
      <alignment horizontal="left" vertical="center" wrapText="1"/>
    </xf>
    <xf numFmtId="167" fontId="4" fillId="4" borderId="11" xfId="4" applyNumberFormat="1" applyFont="1" applyFill="1" applyBorder="1"/>
    <xf numFmtId="167" fontId="12" fillId="4" borderId="20" xfId="4" applyNumberFormat="1" applyFont="1" applyFill="1" applyBorder="1"/>
    <xf numFmtId="167" fontId="4" fillId="4" borderId="11" xfId="0" applyNumberFormat="1" applyFont="1" applyFill="1" applyBorder="1"/>
    <xf numFmtId="167" fontId="20" fillId="4" borderId="11" xfId="4" applyNumberFormat="1" applyFont="1" applyFill="1" applyBorder="1"/>
    <xf numFmtId="167" fontId="4" fillId="4" borderId="21" xfId="4" applyNumberFormat="1" applyFont="1" applyFill="1" applyBorder="1"/>
    <xf numFmtId="167" fontId="4" fillId="4" borderId="20" xfId="4" applyNumberFormat="1" applyFont="1" applyFill="1" applyBorder="1"/>
    <xf numFmtId="167" fontId="20" fillId="4" borderId="21" xfId="4" applyNumberFormat="1" applyFont="1" applyFill="1" applyBorder="1"/>
    <xf numFmtId="0" fontId="0" fillId="0" borderId="22" xfId="0" applyFill="1" applyBorder="1"/>
    <xf numFmtId="0" fontId="4" fillId="0" borderId="3" xfId="0" applyFont="1" applyFill="1" applyBorder="1"/>
    <xf numFmtId="0" fontId="0" fillId="0" borderId="3" xfId="0" applyFill="1" applyBorder="1"/>
    <xf numFmtId="167" fontId="4" fillId="0" borderId="20" xfId="4" applyNumberFormat="1" applyFont="1" applyFill="1" applyBorder="1"/>
    <xf numFmtId="0" fontId="0" fillId="0" borderId="23" xfId="0" applyBorder="1"/>
    <xf numFmtId="0" fontId="0" fillId="0" borderId="24" xfId="0" applyBorder="1"/>
    <xf numFmtId="0" fontId="0" fillId="0" borderId="7" xfId="0" applyFill="1" applyBorder="1"/>
    <xf numFmtId="0" fontId="22" fillId="0" borderId="0" xfId="0" applyFont="1"/>
    <xf numFmtId="165" fontId="0" fillId="0" borderId="7" xfId="0" applyNumberFormat="1" applyBorder="1"/>
    <xf numFmtId="165" fontId="0" fillId="0" borderId="3" xfId="0" applyNumberFormat="1" applyBorder="1"/>
    <xf numFmtId="165" fontId="0" fillId="0" borderId="4" xfId="0" applyNumberFormat="1" applyBorder="1"/>
    <xf numFmtId="0" fontId="4" fillId="0" borderId="0" xfId="0" applyFont="1" applyAlignment="1">
      <alignment wrapText="1"/>
    </xf>
    <xf numFmtId="0" fontId="21" fillId="0" borderId="0" xfId="0" applyFont="1"/>
    <xf numFmtId="168" fontId="0" fillId="4" borderId="7" xfId="0" applyNumberFormat="1" applyFill="1" applyBorder="1"/>
    <xf numFmtId="168" fontId="0" fillId="4" borderId="3" xfId="0" applyNumberFormat="1" applyFill="1" applyBorder="1"/>
    <xf numFmtId="168" fontId="0" fillId="4" borderId="4" xfId="0" applyNumberFormat="1" applyFill="1" applyBorder="1"/>
    <xf numFmtId="0" fontId="0" fillId="0" borderId="11" xfId="0" applyBorder="1" applyProtection="1">
      <protection locked="0"/>
    </xf>
    <xf numFmtId="0" fontId="0" fillId="0" borderId="10" xfId="0" applyBorder="1" applyProtection="1">
      <protection locked="0"/>
    </xf>
    <xf numFmtId="167" fontId="4" fillId="0" borderId="11" xfId="0" applyNumberFormat="1" applyFont="1" applyFill="1" applyBorder="1"/>
    <xf numFmtId="0" fontId="0" fillId="6" borderId="0" xfId="0" applyFill="1" applyBorder="1"/>
    <xf numFmtId="0" fontId="6" fillId="6" borderId="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0" xfId="0" applyFont="1" applyFill="1" applyBorder="1"/>
    <xf numFmtId="166" fontId="6" fillId="6" borderId="0" xfId="0" applyNumberFormat="1" applyFont="1" applyFill="1" applyBorder="1" applyAlignment="1">
      <alignment horizontal="left"/>
    </xf>
    <xf numFmtId="0" fontId="5" fillId="6" borderId="0" xfId="0" applyFont="1" applyFill="1" applyBorder="1" applyAlignment="1">
      <alignment horizontal="left"/>
    </xf>
    <xf numFmtId="0" fontId="5" fillId="6" borderId="0" xfId="0" applyFont="1" applyFill="1" applyBorder="1"/>
    <xf numFmtId="166" fontId="5" fillId="6" borderId="0" xfId="0" applyNumberFormat="1" applyFont="1" applyFill="1" applyBorder="1" applyAlignment="1">
      <alignment horizontal="left"/>
    </xf>
    <xf numFmtId="0" fontId="4" fillId="6" borderId="0" xfId="0" applyFont="1" applyFill="1" applyBorder="1"/>
    <xf numFmtId="0" fontId="17" fillId="6" borderId="0" xfId="0" applyFont="1" applyFill="1" applyBorder="1"/>
    <xf numFmtId="0" fontId="4" fillId="6" borderId="0" xfId="0" applyFont="1" applyFill="1" applyBorder="1" applyAlignment="1">
      <alignment horizontal="right"/>
    </xf>
    <xf numFmtId="3" fontId="4" fillId="6" borderId="0" xfId="0" applyNumberFormat="1" applyFont="1" applyFill="1" applyBorder="1"/>
    <xf numFmtId="0" fontId="7" fillId="6" borderId="0" xfId="0" applyFont="1" applyFill="1" applyBorder="1"/>
    <xf numFmtId="0" fontId="6" fillId="6" borderId="0" xfId="0" applyFont="1" applyFill="1" applyBorder="1" applyAlignment="1">
      <alignment horizontal="right"/>
    </xf>
    <xf numFmtId="0" fontId="18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167" fontId="23" fillId="0" borderId="11" xfId="0" applyNumberFormat="1" applyFont="1" applyFill="1" applyBorder="1"/>
    <xf numFmtId="167" fontId="23" fillId="4" borderId="11" xfId="0" applyNumberFormat="1" applyFont="1" applyFill="1" applyBorder="1"/>
    <xf numFmtId="167" fontId="1" fillId="4" borderId="11" xfId="0" applyNumberFormat="1" applyFont="1" applyFill="1" applyBorder="1"/>
  </cellXfs>
  <cellStyles count="11">
    <cellStyle name="Dezimal 00" xfId="1"/>
    <cellStyle name="Euro" xfId="2"/>
    <cellStyle name="Euro 2" xfId="3"/>
    <cellStyle name="Komma" xfId="4" builtinId="3"/>
    <cellStyle name="Standard" xfId="0" builtinId="0"/>
    <cellStyle name="Standard 2" xfId="5"/>
    <cellStyle name="Standard 2 2" xfId="6"/>
    <cellStyle name="Standard 2 2 2" xfId="7"/>
    <cellStyle name="Standard 2 3" xfId="8"/>
    <cellStyle name="Standard 3" xfId="9"/>
    <cellStyle name="Standard 3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240975909374422E-2"/>
          <c:y val="0.12405040078640099"/>
          <c:w val="0.91006702569898912"/>
          <c:h val="0.7936335662125172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3CC33"/>
            </a:solidFill>
            <a:ln>
              <a:solidFill>
                <a:schemeClr val="tx1"/>
              </a:solidFill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'Diagramm Einzelkultur'!$C$106:$L$106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'Diagramm Einzelkultur'!$C$107:$L$107</c:f>
              <c:numCache>
                <c:formatCode>General</c:formatCode>
                <c:ptCount val="10"/>
                <c:pt idx="0">
                  <c:v>1422.5</c:v>
                </c:pt>
                <c:pt idx="1">
                  <c:v>1422</c:v>
                </c:pt>
                <c:pt idx="2">
                  <c:v>1424.1</c:v>
                </c:pt>
                <c:pt idx="3">
                  <c:v>1415.98</c:v>
                </c:pt>
                <c:pt idx="4">
                  <c:v>1418.5</c:v>
                </c:pt>
                <c:pt idx="5">
                  <c:v>1413.4</c:v>
                </c:pt>
                <c:pt idx="6">
                  <c:v>1418.5</c:v>
                </c:pt>
                <c:pt idx="7">
                  <c:v>1408.1</c:v>
                </c:pt>
                <c:pt idx="8">
                  <c:v>1403.9</c:v>
                </c:pt>
                <c:pt idx="9">
                  <c:v>1407.9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05-4ACB-81BB-130042DDE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axId val="43805696"/>
        <c:axId val="44196608"/>
      </c:barChart>
      <c:catAx>
        <c:axId val="4380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4196608"/>
        <c:crosses val="autoZero"/>
        <c:auto val="1"/>
        <c:lblAlgn val="ctr"/>
        <c:lblOffset val="100"/>
        <c:noMultiLvlLbl val="0"/>
      </c:catAx>
      <c:valAx>
        <c:axId val="4419660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in 1.000 ha</a:t>
                </a:r>
              </a:p>
            </c:rich>
          </c:tx>
          <c:layout>
            <c:manualLayout>
              <c:xMode val="edge"/>
              <c:yMode val="edge"/>
              <c:x val="4.9751030191857986E-3"/>
              <c:y val="1.1591826509755694E-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805696"/>
        <c:crosses val="autoZero"/>
        <c:crossBetween val="between"/>
      </c:valAx>
      <c:spPr>
        <a:gradFill>
          <a:gsLst>
            <a:gs pos="0">
              <a:srgbClr val="FFFFCC"/>
            </a:gs>
            <a:gs pos="50000">
              <a:srgbClr val="FFFFCC"/>
            </a:gs>
            <a:gs pos="100000">
              <a:schemeClr val="bg1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rgbClr val="FFFFCC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240975909374422E-2"/>
          <c:y val="0.12405040078640099"/>
          <c:w val="0.91006702569898912"/>
          <c:h val="0.7936335662125172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3CC33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'Daten Kulturen'!$D$102:$BY$102</c:f>
              <c:numCache>
                <c:formatCode>General</c:formatCode>
                <c:ptCount val="74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  <c:pt idx="69">
                  <c:v>2018</c:v>
                </c:pt>
                <c:pt idx="70">
                  <c:v>2019</c:v>
                </c:pt>
                <c:pt idx="71">
                  <c:v>2020</c:v>
                </c:pt>
                <c:pt idx="72">
                  <c:v>2021</c:v>
                </c:pt>
                <c:pt idx="73">
                  <c:v>2022</c:v>
                </c:pt>
              </c:numCache>
            </c:numRef>
          </c:cat>
          <c:val>
            <c:numRef>
              <c:f>'Daten Kulturen'!$D$103:$BY$103</c:f>
              <c:numCache>
                <c:formatCode>0.0</c:formatCode>
                <c:ptCount val="74"/>
                <c:pt idx="0">
                  <c:v>1893.953</c:v>
                </c:pt>
                <c:pt idx="1">
                  <c:v>1970.184</c:v>
                </c:pt>
                <c:pt idx="2">
                  <c:v>1977.979</c:v>
                </c:pt>
                <c:pt idx="3">
                  <c:v>1971.47</c:v>
                </c:pt>
                <c:pt idx="4">
                  <c:v>1967.1210000000001</c:v>
                </c:pt>
                <c:pt idx="5">
                  <c:v>1970.828</c:v>
                </c:pt>
                <c:pt idx="6">
                  <c:v>1954.5930000000001</c:v>
                </c:pt>
                <c:pt idx="7">
                  <c:v>1954.5550000000001</c:v>
                </c:pt>
                <c:pt idx="8">
                  <c:v>1950.2950000000001</c:v>
                </c:pt>
                <c:pt idx="9">
                  <c:v>1946.8969999999999</c:v>
                </c:pt>
                <c:pt idx="10">
                  <c:v>1939.9939999999999</c:v>
                </c:pt>
                <c:pt idx="11">
                  <c:v>1928.011</c:v>
                </c:pt>
                <c:pt idx="12">
                  <c:v>1919.6469999999999</c:v>
                </c:pt>
                <c:pt idx="13">
                  <c:v>1909.489</c:v>
                </c:pt>
                <c:pt idx="14">
                  <c:v>1902.8150000000001</c:v>
                </c:pt>
                <c:pt idx="15">
                  <c:v>1894.6759999999999</c:v>
                </c:pt>
                <c:pt idx="16">
                  <c:v>1886.1</c:v>
                </c:pt>
                <c:pt idx="17">
                  <c:v>1878.213</c:v>
                </c:pt>
                <c:pt idx="18">
                  <c:v>1872.9760000000001</c:v>
                </c:pt>
                <c:pt idx="19">
                  <c:v>1861.3050000000001</c:v>
                </c:pt>
                <c:pt idx="20">
                  <c:v>1852.6</c:v>
                </c:pt>
                <c:pt idx="21">
                  <c:v>1811.5</c:v>
                </c:pt>
                <c:pt idx="22">
                  <c:v>1762.9</c:v>
                </c:pt>
                <c:pt idx="23">
                  <c:v>1761.1</c:v>
                </c:pt>
                <c:pt idx="24">
                  <c:v>1752.4580000000001</c:v>
                </c:pt>
                <c:pt idx="25">
                  <c:v>1739.7049999999999</c:v>
                </c:pt>
                <c:pt idx="26">
                  <c:v>1735.3030000000001</c:v>
                </c:pt>
                <c:pt idx="27">
                  <c:v>1730.501</c:v>
                </c:pt>
                <c:pt idx="28">
                  <c:v>1717.2439999999999</c:v>
                </c:pt>
                <c:pt idx="29">
                  <c:v>1716.2070000000001</c:v>
                </c:pt>
                <c:pt idx="30">
                  <c:v>1548</c:v>
                </c:pt>
                <c:pt idx="31">
                  <c:v>1545.1</c:v>
                </c:pt>
                <c:pt idx="32">
                  <c:v>1539.1</c:v>
                </c:pt>
                <c:pt idx="33">
                  <c:v>1532.7</c:v>
                </c:pt>
                <c:pt idx="34">
                  <c:v>1524.8</c:v>
                </c:pt>
                <c:pt idx="35">
                  <c:v>1519.9</c:v>
                </c:pt>
                <c:pt idx="36">
                  <c:v>1515.3</c:v>
                </c:pt>
                <c:pt idx="37">
                  <c:v>1509.9</c:v>
                </c:pt>
                <c:pt idx="38">
                  <c:v>1502.6</c:v>
                </c:pt>
                <c:pt idx="39">
                  <c:v>1497.8</c:v>
                </c:pt>
                <c:pt idx="40">
                  <c:v>1493.5</c:v>
                </c:pt>
                <c:pt idx="41">
                  <c:v>1490.4</c:v>
                </c:pt>
                <c:pt idx="42">
                  <c:v>1483.2</c:v>
                </c:pt>
                <c:pt idx="43">
                  <c:v>1481.9</c:v>
                </c:pt>
                <c:pt idx="44">
                  <c:v>1484.7</c:v>
                </c:pt>
                <c:pt idx="45">
                  <c:v>1483.3</c:v>
                </c:pt>
                <c:pt idx="46">
                  <c:v>1446.9</c:v>
                </c:pt>
                <c:pt idx="47">
                  <c:v>1475.4</c:v>
                </c:pt>
                <c:pt idx="48">
                  <c:v>1469.6</c:v>
                </c:pt>
                <c:pt idx="49">
                  <c:v>1496.8</c:v>
                </c:pt>
                <c:pt idx="50">
                  <c:v>1473.1179999999999</c:v>
                </c:pt>
                <c:pt idx="51">
                  <c:v>1462.5</c:v>
                </c:pt>
                <c:pt idx="52">
                  <c:v>1465.2860000000001</c:v>
                </c:pt>
                <c:pt idx="53">
                  <c:v>1456.7</c:v>
                </c:pt>
                <c:pt idx="54">
                  <c:v>1452.682</c:v>
                </c:pt>
                <c:pt idx="55">
                  <c:v>1444.4</c:v>
                </c:pt>
                <c:pt idx="56">
                  <c:v>1446.4639999999999</c:v>
                </c:pt>
                <c:pt idx="57">
                  <c:v>1437.2</c:v>
                </c:pt>
                <c:pt idx="58">
                  <c:v>1435.682</c:v>
                </c:pt>
                <c:pt idx="59">
                  <c:v>1440.5</c:v>
                </c:pt>
                <c:pt idx="60">
                  <c:v>1432.8</c:v>
                </c:pt>
                <c:pt idx="61">
                  <c:v>1410</c:v>
                </c:pt>
                <c:pt idx="62">
                  <c:v>1417.6</c:v>
                </c:pt>
                <c:pt idx="63">
                  <c:v>1420.7</c:v>
                </c:pt>
                <c:pt idx="64">
                  <c:v>1422.5</c:v>
                </c:pt>
                <c:pt idx="65">
                  <c:v>1422</c:v>
                </c:pt>
                <c:pt idx="66">
                  <c:v>1424.1</c:v>
                </c:pt>
                <c:pt idx="67">
                  <c:v>1415.98</c:v>
                </c:pt>
                <c:pt idx="68">
                  <c:v>1418.5</c:v>
                </c:pt>
                <c:pt idx="69">
                  <c:v>1413.4</c:v>
                </c:pt>
                <c:pt idx="70">
                  <c:v>1418.5</c:v>
                </c:pt>
                <c:pt idx="71">
                  <c:v>1408.1</c:v>
                </c:pt>
                <c:pt idx="72">
                  <c:v>1403.9</c:v>
                </c:pt>
                <c:pt idx="73">
                  <c:v>1407.9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64-424D-A314-83E45F753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axId val="80642432"/>
        <c:axId val="80643968"/>
      </c:barChart>
      <c:catAx>
        <c:axId val="80642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0643968"/>
        <c:crossesAt val="0"/>
        <c:auto val="1"/>
        <c:lblAlgn val="ctr"/>
        <c:lblOffset val="100"/>
        <c:noMultiLvlLbl val="0"/>
      </c:catAx>
      <c:valAx>
        <c:axId val="8064396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in 1.000 ha</a:t>
                </a:r>
              </a:p>
            </c:rich>
          </c:tx>
          <c:layout>
            <c:manualLayout>
              <c:xMode val="edge"/>
              <c:yMode val="edge"/>
              <c:x val="4.9751030191857986E-3"/>
              <c:y val="1.1591826509755694E-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0642432"/>
        <c:crossesAt val="1"/>
        <c:crossBetween val="between"/>
      </c:valAx>
      <c:spPr>
        <a:gradFill>
          <a:gsLst>
            <a:gs pos="0">
              <a:schemeClr val="bg1"/>
            </a:gs>
            <a:gs pos="50000">
              <a:srgbClr val="FFFFCC"/>
            </a:gs>
            <a:gs pos="100000">
              <a:srgbClr val="FFFFCC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rgbClr val="FFFFCC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
 </a:t>
            </a:r>
          </a:p>
        </c:rich>
      </c:tx>
      <c:layout>
        <c:manualLayout>
          <c:xMode val="edge"/>
          <c:yMode val="edge"/>
          <c:x val="0.49013157894736842"/>
          <c:y val="3.59475065616797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285087719298245"/>
          <c:y val="0.41830168287787556"/>
          <c:w val="0.63157894736842102"/>
          <c:h val="0.5000015956954519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C25-4770-A22F-1ECED4AF3275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C25-4770-A22F-1ECED4AF3275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C25-4770-A22F-1ECED4AF3275}"/>
              </c:ext>
            </c:extLst>
          </c:dPt>
          <c:dPt>
            <c:idx val="3"/>
            <c:bubble3D val="0"/>
            <c:spPr>
              <a:solidFill>
                <a:srgbClr val="0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C25-4770-A22F-1ECED4AF3275}"/>
              </c:ext>
            </c:extLst>
          </c:dPt>
          <c:dPt>
            <c:idx val="4"/>
            <c:bubble3D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C25-4770-A22F-1ECED4AF3275}"/>
              </c:ext>
            </c:extLst>
          </c:dPt>
          <c:dPt>
            <c:idx val="5"/>
            <c:bubble3D val="0"/>
            <c:spPr>
              <a:solidFill>
                <a:srgbClr val="FFFF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C25-4770-A22F-1ECED4AF3275}"/>
              </c:ext>
            </c:extLst>
          </c:dPt>
          <c:dLbls>
            <c:dLbl>
              <c:idx val="0"/>
              <c:layout>
                <c:manualLayout>
                  <c:x val="0.103314511672883"/>
                  <c:y val="2.55591580464206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C25-4770-A22F-1ECED4AF3275}"/>
                </c:ext>
              </c:extLst>
            </c:dLbl>
            <c:dLbl>
              <c:idx val="1"/>
              <c:layout>
                <c:manualLayout>
                  <c:x val="-4.8141835888934933E-2"/>
                  <c:y val="7.05004031358825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C25-4770-A22F-1ECED4AF3275}"/>
                </c:ext>
              </c:extLst>
            </c:dLbl>
            <c:dLbl>
              <c:idx val="2"/>
              <c:layout>
                <c:manualLayout>
                  <c:x val="-7.0516645945572595E-2"/>
                  <c:y val="-9.79847682974054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C25-4770-A22F-1ECED4AF3275}"/>
                </c:ext>
              </c:extLst>
            </c:dLbl>
            <c:dLbl>
              <c:idx val="3"/>
              <c:layout>
                <c:manualLayout>
                  <c:x val="-4.4981178339549663E-2"/>
                  <c:y val="-0.3017412331655264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Handels-gewächse
1,8%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C25-4770-A22F-1ECED4AF3275}"/>
                </c:ext>
              </c:extLst>
            </c:dLbl>
            <c:dLbl>
              <c:idx val="4"/>
              <c:layout>
                <c:manualLayout>
                  <c:x val="0.13174627020306673"/>
                  <c:y val="-0.1738308201670869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C25-4770-A22F-1ECED4AF3275}"/>
                </c:ext>
              </c:extLst>
            </c:dLbl>
            <c:dLbl>
              <c:idx val="5"/>
              <c:layout>
                <c:manualLayout>
                  <c:x val="0.10925075977344938"/>
                  <c:y val="-0.1128286415178494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C25-4770-A22F-1ECED4AF32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'Daten Kulturen'!$E$96:$J$96</c:f>
              <c:strCache>
                <c:ptCount val="6"/>
                <c:pt idx="0">
                  <c:v>Getreide</c:v>
                </c:pt>
                <c:pt idx="1">
                  <c:v>Hackfrüchte</c:v>
                </c:pt>
                <c:pt idx="2">
                  <c:v>Hülsenfrüchte</c:v>
                </c:pt>
                <c:pt idx="3">
                  <c:v>Handelsgewächse</c:v>
                </c:pt>
                <c:pt idx="4">
                  <c:v>Futterpflanzen</c:v>
                </c:pt>
                <c:pt idx="5">
                  <c:v>Brache</c:v>
                </c:pt>
              </c:strCache>
            </c:strRef>
          </c:cat>
          <c:val>
            <c:numRef>
              <c:f>'Daten Kulturen'!$E$97:$J$97</c:f>
              <c:numCache>
                <c:formatCode>General</c:formatCode>
                <c:ptCount val="6"/>
                <c:pt idx="0">
                  <c:v>463.5</c:v>
                </c:pt>
                <c:pt idx="1">
                  <c:v>24.6</c:v>
                </c:pt>
                <c:pt idx="2">
                  <c:v>18.600000000000001</c:v>
                </c:pt>
                <c:pt idx="3">
                  <c:v>53.2</c:v>
                </c:pt>
                <c:pt idx="4">
                  <c:v>198.7</c:v>
                </c:pt>
                <c:pt idx="5">
                  <c:v>32.4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C25-4770-A22F-1ECED4AF3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671052631578949"/>
          <c:y val="1.7301148831805859E-2"/>
          <c:w val="0.24177631578947367"/>
          <c:h val="0.42906656340088634"/>
        </c:manualLayout>
      </c:layout>
      <c:overlay val="0"/>
      <c:spPr>
        <a:solidFill>
          <a:srgbClr val="FFFFCC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trlProps/ctrlProp1.xml><?xml version="1.0" encoding="utf-8"?>
<formControlPr xmlns="http://schemas.microsoft.com/office/spreadsheetml/2009/9/main" objectType="Drop" dropLines="10" dropStyle="combo" dx="15" fmlaLink="$B$67" fmlaRange="$C$68:$C$98" noThreeD="1" sel="1" val="0"/>
</file>

<file path=xl/ctrlProps/ctrlProp2.xml><?xml version="1.0" encoding="utf-8"?>
<formControlPr xmlns="http://schemas.microsoft.com/office/spreadsheetml/2009/9/main" objectType="Drop" dropLines="10" dropStyle="combo" dx="15" fmlaLink="$G$67" fmlaRange="$G$68:$G$72" noThreeD="1" sel="4" val="0"/>
</file>

<file path=xl/ctrlProps/ctrlProp3.xml><?xml version="1.0" encoding="utf-8"?>
<formControlPr xmlns="http://schemas.microsoft.com/office/spreadsheetml/2009/9/main" objectType="Drop" dropStyle="combo" dx="15" fmlaLink="'Daten Kulturen'!$A$97" fmlaRange="$B$33:$B$76" noThreeD="1" sel="43" val="36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19050</xdr:rowOff>
        </xdr:from>
        <xdr:to>
          <xdr:col>5</xdr:col>
          <xdr:colOff>514350</xdr:colOff>
          <xdr:row>0</xdr:row>
          <xdr:rowOff>342900</xdr:rowOff>
        </xdr:to>
        <xdr:sp macro="" textlink="">
          <xdr:nvSpPr>
            <xdr:cNvPr id="18433" name="Drop Down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0</xdr:row>
          <xdr:rowOff>28575</xdr:rowOff>
        </xdr:from>
        <xdr:to>
          <xdr:col>12</xdr:col>
          <xdr:colOff>104775</xdr:colOff>
          <xdr:row>0</xdr:row>
          <xdr:rowOff>361950</xdr:rowOff>
        </xdr:to>
        <xdr:sp macro="" textlink="">
          <xdr:nvSpPr>
            <xdr:cNvPr id="18497" name="Drop Down 65" hidden="1">
              <a:extLst>
                <a:ext uri="{63B3BB69-23CF-44E3-9099-C40C66FF867C}">
                  <a14:compatExt spid="_x0000_s18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1</xdr:col>
      <xdr:colOff>85725</xdr:colOff>
      <xdr:row>6</xdr:row>
      <xdr:rowOff>76200</xdr:rowOff>
    </xdr:from>
    <xdr:to>
      <xdr:col>13</xdr:col>
      <xdr:colOff>0</xdr:colOff>
      <xdr:row>29</xdr:row>
      <xdr:rowOff>85725</xdr:rowOff>
    </xdr:to>
    <xdr:graphicFrame macro="">
      <xdr:nvGraphicFramePr>
        <xdr:cNvPr id="75500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85725</xdr:colOff>
      <xdr:row>36</xdr:row>
      <xdr:rowOff>76200</xdr:rowOff>
    </xdr:from>
    <xdr:to>
      <xdr:col>13</xdr:col>
      <xdr:colOff>0</xdr:colOff>
      <xdr:row>59</xdr:row>
      <xdr:rowOff>85725</xdr:rowOff>
    </xdr:to>
    <xdr:graphicFrame macro="">
      <xdr:nvGraphicFramePr>
        <xdr:cNvPr id="755006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47625</xdr:colOff>
      <xdr:row>60</xdr:row>
      <xdr:rowOff>66675</xdr:rowOff>
    </xdr:from>
    <xdr:to>
      <xdr:col>1</xdr:col>
      <xdr:colOff>590550</xdr:colOff>
      <xdr:row>61</xdr:row>
      <xdr:rowOff>142875</xdr:rowOff>
    </xdr:to>
    <xdr:pic>
      <xdr:nvPicPr>
        <xdr:cNvPr id="755007" name="Picture 7" descr="P:\90_EigeneVorlagen\LOGO-LEL_transparent.tif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2439650"/>
          <a:ext cx="5429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30</xdr:row>
      <xdr:rowOff>66675</xdr:rowOff>
    </xdr:from>
    <xdr:to>
      <xdr:col>1</xdr:col>
      <xdr:colOff>590550</xdr:colOff>
      <xdr:row>31</xdr:row>
      <xdr:rowOff>152400</xdr:rowOff>
    </xdr:to>
    <xdr:pic>
      <xdr:nvPicPr>
        <xdr:cNvPr id="755008" name="Picture 7" descr="P:\90_EigeneVorlagen\LOGO-LEL_transparent.tif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6429375"/>
          <a:ext cx="5429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57150</xdr:colOff>
      <xdr:row>6</xdr:row>
      <xdr:rowOff>57150</xdr:rowOff>
    </xdr:from>
    <xdr:to>
      <xdr:col>10</xdr:col>
      <xdr:colOff>616450</xdr:colOff>
      <xdr:row>8</xdr:row>
      <xdr:rowOff>95250</xdr:rowOff>
    </xdr:to>
    <xdr:sp macro="" textlink="$E$67">
      <xdr:nvSpPr>
        <xdr:cNvPr id="2" name="Textfeld 1"/>
        <xdr:cNvSpPr txBox="1"/>
      </xdr:nvSpPr>
      <xdr:spPr>
        <a:xfrm>
          <a:off x="1466850" y="2562225"/>
          <a:ext cx="5095875" cy="41910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D6F52ADF-5B8B-4ECC-951F-B5E69E40D20B}" type="TxLink">
            <a:rPr lang="de-DE" sz="1800" b="1">
              <a:latin typeface="Arial" pitchFamily="34" charset="0"/>
              <a:cs typeface="Arial" pitchFamily="34" charset="0"/>
            </a:rPr>
            <a:pPr algn="ctr"/>
            <a:t>Landwirtschaftlich genutzte Fläche  (LF, LN)</a:t>
          </a:fld>
          <a:endParaRPr lang="de-DE" sz="18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66675</xdr:colOff>
      <xdr:row>36</xdr:row>
      <xdr:rowOff>104775</xdr:rowOff>
    </xdr:from>
    <xdr:to>
      <xdr:col>10</xdr:col>
      <xdr:colOff>607808</xdr:colOff>
      <xdr:row>38</xdr:row>
      <xdr:rowOff>66675</xdr:rowOff>
    </xdr:to>
    <xdr:sp macro="" textlink="$E$67">
      <xdr:nvSpPr>
        <xdr:cNvPr id="3" name="Textfeld 2"/>
        <xdr:cNvSpPr txBox="1"/>
      </xdr:nvSpPr>
      <xdr:spPr>
        <a:xfrm>
          <a:off x="1476375" y="7905750"/>
          <a:ext cx="5076825" cy="34290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ECCC7772-8901-49C8-BF15-1996AF157BEA}" type="TxLink">
            <a:rPr lang="de-DE" sz="1800" b="1">
              <a:latin typeface="Arial" pitchFamily="34" charset="0"/>
              <a:cs typeface="Arial" pitchFamily="34" charset="0"/>
            </a:rPr>
            <a:pPr algn="ctr"/>
            <a:t>Landwirtschaftlich genutzte Fläche  (LF, LN)</a:t>
          </a:fld>
          <a:endParaRPr lang="de-DE" sz="18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</xdr:row>
          <xdr:rowOff>38100</xdr:rowOff>
        </xdr:from>
        <xdr:to>
          <xdr:col>5</xdr:col>
          <xdr:colOff>0</xdr:colOff>
          <xdr:row>3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1</xdr:col>
      <xdr:colOff>57150</xdr:colOff>
      <xdr:row>3</xdr:row>
      <xdr:rowOff>0</xdr:rowOff>
    </xdr:from>
    <xdr:to>
      <xdr:col>7</xdr:col>
      <xdr:colOff>762000</xdr:colOff>
      <xdr:row>20</xdr:row>
      <xdr:rowOff>152400</xdr:rowOff>
    </xdr:to>
    <xdr:graphicFrame macro="">
      <xdr:nvGraphicFramePr>
        <xdr:cNvPr id="1696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38100</xdr:colOff>
      <xdr:row>22</xdr:row>
      <xdr:rowOff>47625</xdr:rowOff>
    </xdr:from>
    <xdr:to>
      <xdr:col>1</xdr:col>
      <xdr:colOff>609600</xdr:colOff>
      <xdr:row>23</xdr:row>
      <xdr:rowOff>142875</xdr:rowOff>
    </xdr:to>
    <xdr:pic>
      <xdr:nvPicPr>
        <xdr:cNvPr id="1697" name="Picture 7" descr="P:\90_EigeneVorlagen\LOGO-LEL_transparent.tif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038600"/>
          <a:ext cx="571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108"/>
  <sheetViews>
    <sheetView showGridLines="0" showZeros="0" tabSelected="1" showWhiteSpace="0" zoomScaleNormal="100" workbookViewId="0">
      <pane ySplit="1" topLeftCell="A2" activePane="bottomLeft" state="frozen"/>
      <selection pane="bottomLeft" activeCell="U43" sqref="U43"/>
    </sheetView>
  </sheetViews>
  <sheetFormatPr baseColWidth="10" defaultRowHeight="12.75"/>
  <cols>
    <col min="1" max="1" width="1.7109375" customWidth="1"/>
    <col min="2" max="13" width="9.7109375" customWidth="1"/>
    <col min="14" max="49" width="8.7109375" customWidth="1"/>
  </cols>
  <sheetData>
    <row r="1" spans="1:15" ht="36.75" customHeight="1" thickBot="1">
      <c r="B1" s="93" t="s">
        <v>42</v>
      </c>
      <c r="C1" s="92"/>
      <c r="D1" s="92"/>
      <c r="E1" s="92"/>
      <c r="F1" s="92"/>
      <c r="G1" s="92"/>
      <c r="H1" s="92"/>
      <c r="I1" s="93" t="s">
        <v>43</v>
      </c>
      <c r="J1" s="92"/>
      <c r="K1" s="92"/>
      <c r="L1" s="92"/>
      <c r="M1" s="92"/>
    </row>
    <row r="3" spans="1:15" ht="35.25">
      <c r="A3" s="89"/>
      <c r="B3" s="135" t="s">
        <v>22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8"/>
      <c r="O3" s="8"/>
    </row>
    <row r="4" spans="1:15" ht="15" customHeight="1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8"/>
      <c r="O4" s="8"/>
    </row>
    <row r="5" spans="1:15" ht="26.25">
      <c r="A5" s="89"/>
      <c r="B5" s="136" t="str">
        <f>"Entwicklung "&amp;K67</f>
        <v>Entwicklung in den letzten 10 Jahren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7"/>
      <c r="O5" s="7"/>
    </row>
    <row r="6" spans="1:15" ht="15" customHeight="1">
      <c r="A6" s="89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7"/>
      <c r="O6" s="7"/>
    </row>
    <row r="7" spans="1:15" ht="15" customHeight="1"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2"/>
      <c r="O7" s="2"/>
    </row>
    <row r="8" spans="1:15" ht="15" customHeight="1"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2"/>
      <c r="O8" s="2"/>
    </row>
    <row r="9" spans="1:15" ht="15" customHeight="1"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2"/>
      <c r="O9" s="2"/>
    </row>
    <row r="10" spans="1:15" ht="15" customHeight="1"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2"/>
      <c r="O10" s="2"/>
    </row>
    <row r="11" spans="1:15" ht="15" customHeight="1"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2"/>
      <c r="O11" s="2"/>
    </row>
    <row r="12" spans="1:15" ht="15" customHeight="1"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2"/>
      <c r="O12" s="2"/>
    </row>
    <row r="13" spans="1:15" ht="15" customHeight="1"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2"/>
      <c r="O13" s="2"/>
    </row>
    <row r="14" spans="1:15" ht="15" customHeight="1"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2"/>
      <c r="O14" s="2"/>
    </row>
    <row r="15" spans="1:15" ht="15" customHeight="1"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2"/>
      <c r="O15" s="2"/>
    </row>
    <row r="16" spans="1:15" ht="15" customHeight="1"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2"/>
      <c r="O16" s="2"/>
    </row>
    <row r="17" spans="2:25" ht="15" customHeight="1"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2"/>
      <c r="O17" s="2"/>
    </row>
    <row r="18" spans="2:25" ht="15" customHeight="1"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2"/>
      <c r="O18" s="2"/>
    </row>
    <row r="19" spans="2:25" ht="15" customHeight="1"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2"/>
      <c r="O19" s="2"/>
    </row>
    <row r="20" spans="2:25" ht="15" customHeight="1"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2"/>
      <c r="O20" s="2"/>
    </row>
    <row r="21" spans="2:25" ht="15" customHeight="1"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2"/>
      <c r="O21" s="2"/>
    </row>
    <row r="22" spans="2:25" ht="15" customHeight="1"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2"/>
      <c r="O22" s="2"/>
    </row>
    <row r="23" spans="2:25" ht="15" customHeight="1"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2"/>
      <c r="O23" s="2"/>
    </row>
    <row r="24" spans="2:25" ht="15" customHeight="1"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2"/>
      <c r="O24" s="2"/>
    </row>
    <row r="25" spans="2:25" ht="15" customHeight="1"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2"/>
      <c r="O25" s="2"/>
    </row>
    <row r="26" spans="2:25" ht="15" customHeight="1"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2"/>
      <c r="O26" s="2"/>
    </row>
    <row r="27" spans="2:25" ht="15" customHeight="1"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2"/>
      <c r="O27" s="2"/>
    </row>
    <row r="28" spans="2:25" ht="15" customHeight="1"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2"/>
      <c r="O28" s="2"/>
    </row>
    <row r="29" spans="2:25" ht="15" customHeight="1"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2"/>
      <c r="O29" s="2"/>
    </row>
    <row r="30" spans="2:25" ht="15" customHeight="1"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2"/>
      <c r="O30" s="2"/>
    </row>
    <row r="31" spans="2:25" ht="15" customHeight="1">
      <c r="B31" s="120"/>
      <c r="C31" s="133" t="s">
        <v>54</v>
      </c>
      <c r="D31" s="120"/>
      <c r="E31" s="120"/>
      <c r="F31" s="120"/>
      <c r="G31" s="120"/>
      <c r="H31" s="120"/>
      <c r="I31" s="130"/>
      <c r="J31" s="130"/>
      <c r="K31" s="131" t="str">
        <f>IF('Daten Kulturen'!N94&gt;0,"Zunahme","Abnahme")&amp;" im ausgewählten Zeitraum:"</f>
        <v>Abnahme im ausgewählten Zeitraum:</v>
      </c>
      <c r="L31" s="132">
        <f>'Daten Kulturen'!N94*1000</f>
        <v>-14599.999999999909</v>
      </c>
      <c r="M31" s="120" t="s">
        <v>28</v>
      </c>
      <c r="N31" s="2"/>
      <c r="O31" s="2"/>
    </row>
    <row r="32" spans="2:25" ht="15" customHeight="1">
      <c r="B32" s="120"/>
      <c r="C32" s="133" t="s">
        <v>53</v>
      </c>
      <c r="D32" s="120"/>
      <c r="E32" s="120"/>
      <c r="F32" s="120"/>
      <c r="G32" s="120"/>
      <c r="H32" s="120"/>
      <c r="I32" s="129"/>
      <c r="J32" s="120"/>
      <c r="K32" s="120"/>
      <c r="L32" s="120"/>
      <c r="M32" s="120"/>
      <c r="N32" s="2"/>
      <c r="O32" s="2"/>
      <c r="Y32" s="9"/>
    </row>
    <row r="33" spans="2:15" ht="15" customHeight="1">
      <c r="B33" s="120"/>
      <c r="C33" s="133" t="s">
        <v>39</v>
      </c>
      <c r="D33" s="120"/>
      <c r="E33" s="120"/>
      <c r="F33" s="120"/>
      <c r="G33" s="120"/>
      <c r="H33" s="120"/>
      <c r="I33" s="129"/>
      <c r="J33" s="120"/>
      <c r="K33" s="120"/>
      <c r="L33" s="120"/>
      <c r="M33" s="120"/>
    </row>
    <row r="34" spans="2:15" ht="27" customHeight="1"/>
    <row r="35" spans="2:15" ht="26.25">
      <c r="B35" s="137" t="s">
        <v>38</v>
      </c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</row>
    <row r="36" spans="2:15" ht="15" customHeight="1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7"/>
      <c r="O36" s="7"/>
    </row>
    <row r="37" spans="2:15" ht="15" customHeight="1"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</row>
    <row r="38" spans="2:15" ht="15" customHeight="1"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</row>
    <row r="39" spans="2:15" ht="15" customHeight="1"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</row>
    <row r="40" spans="2:15" ht="15" customHeight="1"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</row>
    <row r="41" spans="2:15" ht="15" customHeight="1"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</row>
    <row r="42" spans="2:15" ht="15" customHeight="1"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</row>
    <row r="43" spans="2:15" ht="15" customHeight="1"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</row>
    <row r="44" spans="2:15" ht="15" customHeight="1"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</row>
    <row r="45" spans="2:15" ht="15" customHeight="1"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</row>
    <row r="46" spans="2:15" ht="15" customHeight="1"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</row>
    <row r="47" spans="2:15" ht="15" customHeight="1"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</row>
    <row r="48" spans="2:15" ht="15" customHeight="1"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</row>
    <row r="49" spans="2:13" ht="15" customHeight="1"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</row>
    <row r="50" spans="2:13" ht="15" customHeight="1"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</row>
    <row r="51" spans="2:13" ht="15" customHeight="1"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</row>
    <row r="52" spans="2:13" ht="15" customHeight="1"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</row>
    <row r="53" spans="2:13" ht="15" customHeight="1"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</row>
    <row r="54" spans="2:13" ht="15" customHeight="1"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</row>
    <row r="55" spans="2:13" ht="15" customHeight="1"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</row>
    <row r="56" spans="2:13" ht="15" customHeight="1"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</row>
    <row r="57" spans="2:13" ht="15" customHeight="1"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</row>
    <row r="58" spans="2:13" ht="15" customHeight="1"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</row>
    <row r="59" spans="2:13" ht="15" customHeight="1"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</row>
    <row r="60" spans="2:13" ht="15" customHeight="1"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</row>
    <row r="61" spans="2:13" ht="15" customHeight="1">
      <c r="B61" s="120"/>
      <c r="C61" s="133" t="str">
        <f>C31</f>
        <v>Quelle: Statistisches Landesamt Baden-Württemberg 2022</v>
      </c>
      <c r="D61" s="120"/>
      <c r="E61" s="120"/>
      <c r="F61" s="120"/>
      <c r="G61" s="120"/>
      <c r="H61" s="120"/>
      <c r="I61" s="120"/>
      <c r="J61" s="120"/>
      <c r="K61" s="131" t="str">
        <f>IF('Daten Kulturen'!D107&gt;0,"Zunahme","Abnahme")&amp;" im Zeitraum:"</f>
        <v>Abnahme im Zeitraum:</v>
      </c>
      <c r="L61" s="132">
        <f>'Daten Kulturen'!D107*1000</f>
        <v>-486052.99999999988</v>
      </c>
      <c r="M61" s="120" t="s">
        <v>28</v>
      </c>
    </row>
    <row r="62" spans="2:13" ht="15" customHeight="1">
      <c r="B62" s="120"/>
      <c r="C62" s="133" t="str">
        <f>C32</f>
        <v>Bearbeitung: LEL Schwäbisch Gmünd, Abt. 3, 08/2022</v>
      </c>
      <c r="D62" s="120"/>
      <c r="E62" s="120"/>
      <c r="F62" s="120"/>
      <c r="G62" s="120"/>
      <c r="H62" s="120"/>
      <c r="I62" s="129"/>
      <c r="J62" s="120"/>
      <c r="K62" s="120"/>
      <c r="L62" s="120"/>
      <c r="M62" s="120"/>
    </row>
    <row r="63" spans="2:13" ht="15" customHeight="1">
      <c r="B63" s="120"/>
      <c r="C63" s="133" t="str">
        <f>C33</f>
        <v>Vergleichbarkeit der Daten aufgrund Änderungen der Erfassungsgrenzen und der Methodik nicht gewährleistet.</v>
      </c>
      <c r="D63" s="120"/>
      <c r="E63" s="120"/>
      <c r="F63" s="120"/>
      <c r="G63" s="120"/>
      <c r="H63" s="120"/>
      <c r="I63" s="129"/>
      <c r="J63" s="120"/>
      <c r="K63" s="120"/>
      <c r="L63" s="120"/>
      <c r="M63" s="120"/>
    </row>
    <row r="66" spans="2:11" hidden="1"/>
    <row r="67" spans="2:11" hidden="1">
      <c r="B67" s="117">
        <v>1</v>
      </c>
      <c r="C67" s="106"/>
      <c r="E67" s="21" t="str">
        <f>IF(ISERROR(VLOOKUP('Diagramm Einzelkultur'!B67,'Diagramm Einzelkultur'!B68:C97,2,FALSE))=TRUE,"",VLOOKUP('Diagramm Einzelkultur'!B67,'Diagramm Einzelkultur'!B68:C97,2,FALSE))</f>
        <v>Landwirtschaftlich genutzte Fläche  (LF, LN)</v>
      </c>
      <c r="F67" s="10"/>
      <c r="G67" s="118">
        <v>4</v>
      </c>
      <c r="H67" s="16"/>
      <c r="I67" s="11"/>
      <c r="J67" s="20"/>
      <c r="K67" s="17" t="str">
        <f>IF(G67=5,"",IF(ISERROR(VLOOKUP('Diagramm Einzelkultur'!G67,F68:G72,2,FALSE))=TRUE,"",VLOOKUP('Diagramm Einzelkultur'!G67,F68:G72,2,FALSE)))</f>
        <v>in den letzten 10 Jahren</v>
      </c>
    </row>
    <row r="68" spans="2:11" hidden="1">
      <c r="B68" s="4">
        <v>1</v>
      </c>
      <c r="C68" s="3" t="str">
        <f>'Daten Kulturen'!D$2</f>
        <v>Landwirtschaftlich genutzte Fläche  (LF, LN)</v>
      </c>
      <c r="F68" s="4">
        <v>1</v>
      </c>
      <c r="G68" s="2" t="str">
        <f>'Daten Kulturen'!B80</f>
        <v>nach Agrarstrukturerhebungen</v>
      </c>
      <c r="H68" s="2"/>
      <c r="I68" s="3"/>
      <c r="J68" s="2"/>
    </row>
    <row r="69" spans="2:11" hidden="1">
      <c r="B69" s="4">
        <v>2</v>
      </c>
      <c r="C69" s="3" t="str">
        <f>'Daten Kulturen'!E$2</f>
        <v>Dauergrünland</v>
      </c>
      <c r="F69" s="4">
        <v>2</v>
      </c>
      <c r="G69" s="2" t="str">
        <f>'Daten Kulturen'!B83</f>
        <v>nach Jahrzehnten</v>
      </c>
      <c r="H69" s="2"/>
      <c r="I69" s="3"/>
      <c r="J69" s="2"/>
    </row>
    <row r="70" spans="2:11" hidden="1">
      <c r="B70" s="4">
        <v>3</v>
      </c>
      <c r="C70" s="3" t="str">
        <f>'Daten Kulturen'!F$2</f>
        <v>Wiesen</v>
      </c>
      <c r="F70" s="4">
        <v>3</v>
      </c>
      <c r="G70" s="2" t="str">
        <f>'Daten Kulturen'!B86</f>
        <v>in der letzten Dekade</v>
      </c>
      <c r="H70" s="2"/>
      <c r="I70" s="3"/>
      <c r="J70" s="2"/>
    </row>
    <row r="71" spans="2:11" hidden="1">
      <c r="B71" s="4">
        <v>4</v>
      </c>
      <c r="C71" s="3" t="str">
        <f>'Daten Kulturen'!G$2</f>
        <v>Weiden</v>
      </c>
      <c r="F71" s="4">
        <v>4</v>
      </c>
      <c r="G71" s="2" t="str">
        <f>'Daten Kulturen'!B89</f>
        <v>in den letzten 10 Jahren</v>
      </c>
      <c r="H71" s="2"/>
      <c r="I71" s="3"/>
      <c r="J71" s="2"/>
    </row>
    <row r="72" spans="2:11" hidden="1">
      <c r="B72" s="4">
        <v>5</v>
      </c>
      <c r="C72" s="3" t="str">
        <f>'Daten Kulturen'!H$2</f>
        <v>Rebland</v>
      </c>
      <c r="F72" s="12">
        <v>5</v>
      </c>
      <c r="G72" s="5"/>
      <c r="H72" s="5"/>
      <c r="I72" s="6"/>
      <c r="J72" s="2"/>
    </row>
    <row r="73" spans="2:11" hidden="1">
      <c r="B73" s="4">
        <v>6</v>
      </c>
      <c r="C73" s="3" t="str">
        <f>'Daten Kulturen'!I$2</f>
        <v>Obstanlagen</v>
      </c>
    </row>
    <row r="74" spans="2:11" hidden="1">
      <c r="B74" s="4">
        <v>7</v>
      </c>
      <c r="C74" s="3" t="str">
        <f>'Daten Kulturen'!J$2</f>
        <v>Baumschulen</v>
      </c>
    </row>
    <row r="75" spans="2:11" hidden="1">
      <c r="B75" s="4">
        <v>8</v>
      </c>
      <c r="C75" s="3" t="str">
        <f>'Daten Kulturen'!K$2</f>
        <v xml:space="preserve">Ackerland </v>
      </c>
    </row>
    <row r="76" spans="2:11" hidden="1">
      <c r="B76" s="4">
        <v>9</v>
      </c>
      <c r="C76" s="3" t="str">
        <f>'Daten Kulturen'!L$2</f>
        <v>Getreide</v>
      </c>
    </row>
    <row r="77" spans="2:11" hidden="1">
      <c r="B77" s="4">
        <v>10</v>
      </c>
      <c r="C77" s="3" t="str">
        <f>'Daten Kulturen'!M$2</f>
        <v>Weizen</v>
      </c>
    </row>
    <row r="78" spans="2:11" hidden="1">
      <c r="B78" s="4">
        <v>11</v>
      </c>
      <c r="C78" s="3" t="str">
        <f>'Daten Kulturen'!N$2</f>
        <v>Gerste</v>
      </c>
    </row>
    <row r="79" spans="2:11" hidden="1">
      <c r="B79" s="4">
        <v>12</v>
      </c>
      <c r="C79" s="3" t="str">
        <f>'Daten Kulturen'!O$2</f>
        <v>Körnermais, CCM</v>
      </c>
    </row>
    <row r="80" spans="2:11" hidden="1">
      <c r="B80" s="4">
        <v>13</v>
      </c>
      <c r="C80" s="3" t="str">
        <f>'Daten Kulturen'!P$2</f>
        <v>Hülsenfrüchte</v>
      </c>
    </row>
    <row r="81" spans="2:3" hidden="1">
      <c r="B81" s="4">
        <v>14</v>
      </c>
      <c r="C81" s="3" t="str">
        <f>'Daten Kulturen'!Q$2</f>
        <v>Hackfrüchte</v>
      </c>
    </row>
    <row r="82" spans="2:3" hidden="1">
      <c r="B82" s="4">
        <v>15</v>
      </c>
      <c r="C82" s="3" t="str">
        <f>'Daten Kulturen'!R$2</f>
        <v>Kartoffeln</v>
      </c>
    </row>
    <row r="83" spans="2:3" hidden="1">
      <c r="B83" s="4">
        <v>16</v>
      </c>
      <c r="C83" s="3" t="str">
        <f>'Daten Kulturen'!S$2</f>
        <v>Zuckerrüben</v>
      </c>
    </row>
    <row r="84" spans="2:3" hidden="1">
      <c r="B84" s="4">
        <v>17</v>
      </c>
      <c r="C84" s="3" t="str">
        <f>'Daten Kulturen'!T$2</f>
        <v>Gartenbauerzeugnisse</v>
      </c>
    </row>
    <row r="85" spans="2:3" hidden="1">
      <c r="B85" s="4">
        <v>18</v>
      </c>
      <c r="C85" s="3" t="str">
        <f>'Daten Kulturen'!U$2</f>
        <v>Freilandgemüse</v>
      </c>
    </row>
    <row r="86" spans="2:3" hidden="1">
      <c r="B86" s="4">
        <v>19</v>
      </c>
      <c r="C86" s="3" t="str">
        <f>'Daten Kulturen'!V$2</f>
        <v>Spargel</v>
      </c>
    </row>
    <row r="87" spans="2:3" hidden="1">
      <c r="B87" s="4">
        <v>20</v>
      </c>
      <c r="C87" s="3" t="str">
        <f>'Daten Kulturen'!W$2</f>
        <v>Erdbeeren</v>
      </c>
    </row>
    <row r="88" spans="2:3" hidden="1">
      <c r="B88" s="4">
        <v>21</v>
      </c>
      <c r="C88" s="3" t="str">
        <f>'Daten Kulturen'!X$2</f>
        <v>Handelsgewächse</v>
      </c>
    </row>
    <row r="89" spans="2:3" hidden="1">
      <c r="B89" s="4">
        <v>22</v>
      </c>
      <c r="C89" s="3" t="str">
        <f>'Daten Kulturen'!Y$2</f>
        <v>Ölfrüchte</v>
      </c>
    </row>
    <row r="90" spans="2:3" hidden="1">
      <c r="B90" s="4">
        <v>23</v>
      </c>
      <c r="C90" s="3" t="str">
        <f>'Daten Kulturen'!Z$2</f>
        <v>Körnerraps</v>
      </c>
    </row>
    <row r="91" spans="2:3" hidden="1">
      <c r="B91" s="4">
        <v>24</v>
      </c>
      <c r="C91" s="3" t="str">
        <f>'Daten Kulturen'!AA$2</f>
        <v>Hopfen</v>
      </c>
    </row>
    <row r="92" spans="2:3" hidden="1">
      <c r="B92" s="4">
        <v>25</v>
      </c>
      <c r="C92" s="3" t="str">
        <f>'Daten Kulturen'!AB$2</f>
        <v>Tabak</v>
      </c>
    </row>
    <row r="93" spans="2:3" hidden="1">
      <c r="B93" s="4">
        <v>26</v>
      </c>
      <c r="C93" s="3" t="str">
        <f>'Daten Kulturen'!AC$2</f>
        <v>Pflanzen zur Grünernte</v>
      </c>
    </row>
    <row r="94" spans="2:3" hidden="1">
      <c r="B94" s="4">
        <v>27</v>
      </c>
      <c r="C94" s="3" t="str">
        <f>'Daten Kulturen'!AD$2</f>
        <v>Grasanbau</v>
      </c>
    </row>
    <row r="95" spans="2:3" hidden="1">
      <c r="B95" s="4">
        <v>28</v>
      </c>
      <c r="C95" s="3" t="str">
        <f>'Daten Kulturen'!AE$2</f>
        <v>Silomais</v>
      </c>
    </row>
    <row r="96" spans="2:3" hidden="1">
      <c r="B96" s="4">
        <v>29</v>
      </c>
      <c r="C96" s="3" t="str">
        <f>'Daten Kulturen'!AF$2</f>
        <v>Brache</v>
      </c>
    </row>
    <row r="97" spans="2:15" hidden="1">
      <c r="B97" s="107">
        <v>30</v>
      </c>
      <c r="C97" s="6" t="str">
        <f>'Daten Kulturen'!AG$2</f>
        <v>Gartenland</v>
      </c>
    </row>
    <row r="98" spans="2:15" hidden="1">
      <c r="B98" s="2"/>
      <c r="C98" s="2"/>
    </row>
    <row r="99" spans="2:15" hidden="1">
      <c r="B99" s="2"/>
      <c r="C99" s="2"/>
    </row>
    <row r="100" spans="2:15">
      <c r="B100" s="2"/>
      <c r="C100" s="2"/>
    </row>
    <row r="101" spans="2:15">
      <c r="B101" s="2"/>
      <c r="C101" s="2"/>
    </row>
    <row r="102" spans="2:15">
      <c r="B102" s="2"/>
      <c r="C102" s="2"/>
    </row>
    <row r="103" spans="2:15">
      <c r="B103" s="2"/>
      <c r="C103" s="2"/>
    </row>
    <row r="105" spans="2:15" ht="12.75" customHeight="1"/>
    <row r="106" spans="2:15" ht="12.75" customHeight="1">
      <c r="C106" s="80">
        <f>IF('Daten Kulturen'!D93=0,"",'Daten Kulturen'!D93)</f>
        <v>2013</v>
      </c>
      <c r="D106" s="81">
        <f>IF('Daten Kulturen'!E93=0,"",'Daten Kulturen'!E93)</f>
        <v>2014</v>
      </c>
      <c r="E106" s="81">
        <f>IF('Daten Kulturen'!F93=0,"",'Daten Kulturen'!F93)</f>
        <v>2015</v>
      </c>
      <c r="F106" s="81">
        <f>IF('Daten Kulturen'!G93=0,"",'Daten Kulturen'!G93)</f>
        <v>2016</v>
      </c>
      <c r="G106" s="81">
        <f>IF('Daten Kulturen'!H93=0,"",'Daten Kulturen'!H93)</f>
        <v>2017</v>
      </c>
      <c r="H106" s="81">
        <f>IF('Daten Kulturen'!I93=0,"",'Daten Kulturen'!I93)</f>
        <v>2018</v>
      </c>
      <c r="I106" s="81">
        <f>IF('Daten Kulturen'!J93=0,"",'Daten Kulturen'!J93)</f>
        <v>2019</v>
      </c>
      <c r="J106" s="81">
        <f>IF('Daten Kulturen'!K93=0,"",'Daten Kulturen'!K93)</f>
        <v>2020</v>
      </c>
      <c r="K106" s="81">
        <f>IF('Daten Kulturen'!L93=0,"",'Daten Kulturen'!L93)</f>
        <v>2021</v>
      </c>
      <c r="L106" s="82">
        <f>IF('Daten Kulturen'!M93=0,"",'Daten Kulturen'!M93)</f>
        <v>2022</v>
      </c>
      <c r="M106" s="82" t="str">
        <f>IF('Daten Kulturen'!N93=0,"",'Daten Kulturen'!N93)</f>
        <v/>
      </c>
      <c r="O106" s="82" t="str">
        <f>IF('Daten Kulturen'!N93=0,"",'Daten Kulturen'!N93)</f>
        <v/>
      </c>
    </row>
    <row r="107" spans="2:15" ht="12.75" customHeight="1">
      <c r="C107" s="83">
        <f>IF(ISERROR('Daten Kulturen'!D94=TRUE),"",'Daten Kulturen'!D94)</f>
        <v>1422.5</v>
      </c>
      <c r="D107" s="83">
        <f>IF(ISERROR('Daten Kulturen'!E94=TRUE),"",'Daten Kulturen'!E94)</f>
        <v>1422</v>
      </c>
      <c r="E107" s="83">
        <f>IF(ISERROR('Daten Kulturen'!F94=TRUE),"",'Daten Kulturen'!F94)</f>
        <v>1424.1</v>
      </c>
      <c r="F107" s="83">
        <f>IF(ISERROR('Daten Kulturen'!G94=TRUE),"",'Daten Kulturen'!G94)</f>
        <v>1415.98</v>
      </c>
      <c r="G107" s="83">
        <f>IF(ISERROR('Daten Kulturen'!H94=TRUE),"",'Daten Kulturen'!H94)</f>
        <v>1418.5</v>
      </c>
      <c r="H107" s="83">
        <f>IF(ISERROR('Daten Kulturen'!I94=TRUE),"",'Daten Kulturen'!I94)</f>
        <v>1413.4</v>
      </c>
      <c r="I107" s="83">
        <f>IF(ISERROR('Daten Kulturen'!J94=TRUE),"",'Daten Kulturen'!J94)</f>
        <v>1418.5</v>
      </c>
      <c r="J107" s="83">
        <f>IF(ISERROR('Daten Kulturen'!K94=TRUE),"",'Daten Kulturen'!K94)</f>
        <v>1408.1</v>
      </c>
      <c r="K107" s="83">
        <f>IF(ISERROR('Daten Kulturen'!L94=TRUE),"",'Daten Kulturen'!L94)</f>
        <v>1403.9</v>
      </c>
      <c r="L107" s="84">
        <f>IF(ISERROR('Daten Kulturen'!M94=TRUE),"",'Daten Kulturen'!M94)</f>
        <v>1407.9</v>
      </c>
      <c r="M107" s="84">
        <f>IF(ISERROR('Daten Kulturen'!N94=TRUE),"",'Daten Kulturen'!N94)</f>
        <v>-14.599999999999909</v>
      </c>
      <c r="O107" s="84">
        <f>IF(ISERROR('Daten Kulturen'!N94=TRUE),"",'Daten Kulturen'!N94)</f>
        <v>-14.599999999999909</v>
      </c>
    </row>
    <row r="108" spans="2:15" ht="12.75" customHeight="1"/>
  </sheetData>
  <sheetProtection autoFilter="0"/>
  <mergeCells count="3">
    <mergeCell ref="B3:M3"/>
    <mergeCell ref="B5:M5"/>
    <mergeCell ref="B35:M35"/>
  </mergeCells>
  <printOptions horizontalCentered="1" verticalCentered="1"/>
  <pageMargins left="0.59055118110236227" right="0.59055118110236227" top="0.59055118110236227" bottom="0.59055118110236227" header="0.51181102362204722" footer="0.39370078740157483"/>
  <pageSetup paperSize="9" scale="7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Drop Down 1">
              <controlPr defaultSize="0" print="0" autoLine="0" autoPict="0">
                <anchor moveWithCells="1">
                  <from>
                    <xdr:col>2</xdr:col>
                    <xdr:colOff>0</xdr:colOff>
                    <xdr:row>0</xdr:row>
                    <xdr:rowOff>19050</xdr:rowOff>
                  </from>
                  <to>
                    <xdr:col>5</xdr:col>
                    <xdr:colOff>514350</xdr:colOff>
                    <xdr:row>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7" r:id="rId5" name="Drop Down 65">
              <controlPr defaultSize="0" print="0" autoLine="0" autoPict="0">
                <anchor moveWithCells="1">
                  <from>
                    <xdr:col>9</xdr:col>
                    <xdr:colOff>38100</xdr:colOff>
                    <xdr:row>0</xdr:row>
                    <xdr:rowOff>28575</xdr:rowOff>
                  </from>
                  <to>
                    <xdr:col>12</xdr:col>
                    <xdr:colOff>104775</xdr:colOff>
                    <xdr:row>0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76"/>
  <sheetViews>
    <sheetView zoomScaleNormal="100" workbookViewId="0">
      <selection activeCell="B1" sqref="B1:H24"/>
    </sheetView>
  </sheetViews>
  <sheetFormatPr baseColWidth="10" defaultRowHeight="12.75"/>
  <cols>
    <col min="1" max="1" width="3" bestFit="1" customWidth="1"/>
    <col min="2" max="8" width="12.7109375" customWidth="1"/>
    <col min="9" max="10" width="11.7109375" customWidth="1"/>
    <col min="11" max="11" width="12.7109375" bestFit="1" customWidth="1"/>
    <col min="12" max="13" width="11.7109375" customWidth="1"/>
  </cols>
  <sheetData>
    <row r="1" spans="2:8" ht="20.25">
      <c r="B1" s="138" t="s">
        <v>40</v>
      </c>
      <c r="C1" s="138"/>
      <c r="D1" s="138"/>
      <c r="E1" s="138"/>
      <c r="F1" s="138"/>
      <c r="G1" s="138"/>
      <c r="H1" s="138"/>
    </row>
    <row r="2" spans="2:8" ht="18">
      <c r="B2" s="139" t="str">
        <f>"nach Fruchtarten "&amp;B77</f>
        <v xml:space="preserve">nach Fruchtarten </v>
      </c>
      <c r="C2" s="139"/>
      <c r="D2" s="139"/>
      <c r="E2" s="139"/>
      <c r="F2" s="139"/>
      <c r="G2" s="139"/>
      <c r="H2" s="139"/>
    </row>
    <row r="3" spans="2:8" ht="27.75" customHeight="1">
      <c r="B3" s="120"/>
      <c r="C3" s="121"/>
      <c r="D3" s="121"/>
      <c r="E3" s="122"/>
      <c r="F3" s="123"/>
      <c r="G3" s="121"/>
      <c r="H3" s="121"/>
    </row>
    <row r="4" spans="2:8">
      <c r="B4" s="120"/>
      <c r="C4" s="120"/>
      <c r="D4" s="120"/>
      <c r="E4" s="120"/>
      <c r="F4" s="120"/>
      <c r="G4" s="120"/>
      <c r="H4" s="120"/>
    </row>
    <row r="5" spans="2:8">
      <c r="B5" s="120"/>
      <c r="C5" s="120"/>
      <c r="D5" s="120"/>
      <c r="E5" s="120"/>
      <c r="F5" s="120"/>
      <c r="G5" s="120"/>
      <c r="H5" s="120"/>
    </row>
    <row r="6" spans="2:8">
      <c r="B6" s="120"/>
      <c r="C6" s="120"/>
      <c r="D6" s="120"/>
      <c r="E6" s="120"/>
      <c r="F6" s="120"/>
      <c r="G6" s="120"/>
      <c r="H6" s="120"/>
    </row>
    <row r="7" spans="2:8">
      <c r="B7" s="120"/>
      <c r="C7" s="120"/>
      <c r="D7" s="120"/>
      <c r="E7" s="120"/>
      <c r="F7" s="120"/>
      <c r="G7" s="120"/>
      <c r="H7" s="120"/>
    </row>
    <row r="8" spans="2:8">
      <c r="B8" s="120"/>
      <c r="C8" s="120"/>
      <c r="D8" s="120"/>
      <c r="E8" s="120"/>
      <c r="F8" s="120"/>
      <c r="G8" s="120"/>
      <c r="H8" s="120"/>
    </row>
    <row r="9" spans="2:8">
      <c r="B9" s="120"/>
      <c r="C9" s="120"/>
      <c r="D9" s="120"/>
      <c r="E9" s="120"/>
      <c r="F9" s="120"/>
      <c r="G9" s="120"/>
      <c r="H9" s="120"/>
    </row>
    <row r="10" spans="2:8">
      <c r="B10" s="120"/>
      <c r="C10" s="120"/>
      <c r="D10" s="120"/>
      <c r="E10" s="120"/>
      <c r="F10" s="120"/>
      <c r="G10" s="120"/>
      <c r="H10" s="120"/>
    </row>
    <row r="11" spans="2:8">
      <c r="B11" s="120"/>
      <c r="C11" s="120"/>
      <c r="D11" s="120"/>
      <c r="E11" s="120"/>
      <c r="F11" s="120"/>
      <c r="G11" s="120"/>
      <c r="H11" s="120"/>
    </row>
    <row r="12" spans="2:8">
      <c r="B12" s="120"/>
      <c r="C12" s="120"/>
      <c r="D12" s="120"/>
      <c r="E12" s="120"/>
      <c r="F12" s="120"/>
      <c r="G12" s="120"/>
      <c r="H12" s="120"/>
    </row>
    <row r="13" spans="2:8">
      <c r="B13" s="120"/>
      <c r="C13" s="120"/>
      <c r="D13" s="120"/>
      <c r="E13" s="120"/>
      <c r="F13" s="120"/>
      <c r="G13" s="120"/>
      <c r="H13" s="120"/>
    </row>
    <row r="14" spans="2:8">
      <c r="B14" s="120"/>
      <c r="C14" s="120"/>
      <c r="D14" s="120"/>
      <c r="E14" s="120"/>
      <c r="F14" s="120"/>
      <c r="G14" s="120"/>
      <c r="H14" s="120"/>
    </row>
    <row r="15" spans="2:8">
      <c r="B15" s="120"/>
      <c r="C15" s="120"/>
      <c r="D15" s="120"/>
      <c r="E15" s="120"/>
      <c r="F15" s="120"/>
      <c r="G15" s="120"/>
      <c r="H15" s="120"/>
    </row>
    <row r="16" spans="2:8">
      <c r="B16" s="120"/>
      <c r="C16" s="120"/>
      <c r="D16" s="120"/>
      <c r="E16" s="120"/>
      <c r="F16" s="120"/>
      <c r="G16" s="120"/>
      <c r="H16" s="120"/>
    </row>
    <row r="17" spans="2:8">
      <c r="B17" s="120"/>
      <c r="C17" s="120"/>
      <c r="D17" s="120"/>
      <c r="E17" s="120"/>
      <c r="F17" s="120"/>
      <c r="G17" s="120"/>
      <c r="H17" s="120"/>
    </row>
    <row r="18" spans="2:8">
      <c r="B18" s="120"/>
      <c r="C18" s="120"/>
      <c r="D18" s="120"/>
      <c r="E18" s="120"/>
      <c r="F18" s="120"/>
      <c r="G18" s="120"/>
      <c r="H18" s="120"/>
    </row>
    <row r="19" spans="2:8">
      <c r="B19" s="120"/>
      <c r="C19" s="120"/>
      <c r="D19" s="120"/>
      <c r="E19" s="120"/>
      <c r="F19" s="120"/>
      <c r="G19" s="120"/>
      <c r="H19" s="120"/>
    </row>
    <row r="20" spans="2:8">
      <c r="B20" s="120"/>
      <c r="C20" s="120"/>
      <c r="D20" s="120"/>
      <c r="E20" s="120"/>
      <c r="F20" s="120"/>
      <c r="G20" s="120"/>
      <c r="H20" s="120"/>
    </row>
    <row r="21" spans="2:8" ht="15.75">
      <c r="B21" s="124"/>
      <c r="C21" s="124"/>
      <c r="D21" s="124"/>
      <c r="E21" s="120"/>
      <c r="F21" s="120"/>
      <c r="G21" s="120"/>
      <c r="H21" s="120"/>
    </row>
    <row r="22" spans="2:8" ht="15.75">
      <c r="B22" s="126"/>
      <c r="C22" s="127"/>
      <c r="D22" s="128"/>
      <c r="E22" s="120"/>
      <c r="F22" s="120"/>
      <c r="G22" s="134" t="s">
        <v>41</v>
      </c>
      <c r="H22" s="125">
        <f>'Daten Kulturen'!D97*1000</f>
        <v>807100</v>
      </c>
    </row>
    <row r="23" spans="2:8" ht="15">
      <c r="B23" s="120"/>
      <c r="C23" s="133" t="s">
        <v>52</v>
      </c>
      <c r="D23" s="128"/>
      <c r="E23" s="120"/>
      <c r="F23" s="120"/>
      <c r="G23" s="120"/>
      <c r="H23" s="120"/>
    </row>
    <row r="24" spans="2:8">
      <c r="B24" s="120"/>
      <c r="C24" s="133" t="str">
        <f>'Diagramm Einzelkultur'!C32</f>
        <v>Bearbeitung: LEL Schwäbisch Gmünd, Abt. 3, 08/2022</v>
      </c>
      <c r="D24" s="120"/>
      <c r="E24" s="120"/>
      <c r="F24" s="120"/>
      <c r="G24" s="120"/>
      <c r="H24" s="120"/>
    </row>
    <row r="33" spans="1:12">
      <c r="A33">
        <v>33</v>
      </c>
      <c r="B33" s="29">
        <v>1979</v>
      </c>
    </row>
    <row r="34" spans="1:12">
      <c r="A34">
        <v>34</v>
      </c>
      <c r="B34" s="29">
        <v>1980</v>
      </c>
    </row>
    <row r="35" spans="1:12">
      <c r="A35">
        <v>35</v>
      </c>
      <c r="B35" s="29">
        <v>1981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1:12">
      <c r="A36">
        <v>36</v>
      </c>
      <c r="B36" s="29">
        <v>1982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2">
      <c r="A37">
        <v>37</v>
      </c>
      <c r="B37" s="29">
        <v>1983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2">
      <c r="A38">
        <v>38</v>
      </c>
      <c r="B38" s="29">
        <v>1984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2">
      <c r="A39">
        <v>39</v>
      </c>
      <c r="B39" s="29">
        <v>1985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1:12">
      <c r="A40">
        <v>40</v>
      </c>
      <c r="B40" s="29">
        <v>1986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</row>
    <row r="41" spans="1:12">
      <c r="A41">
        <v>41</v>
      </c>
      <c r="B41" s="29">
        <v>1987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1:12">
      <c r="A42">
        <v>42</v>
      </c>
      <c r="B42" s="29">
        <v>1988</v>
      </c>
    </row>
    <row r="43" spans="1:12">
      <c r="A43">
        <v>43</v>
      </c>
      <c r="B43" s="29">
        <v>1989</v>
      </c>
    </row>
    <row r="44" spans="1:12">
      <c r="A44">
        <v>44</v>
      </c>
      <c r="B44" s="29">
        <v>1990</v>
      </c>
    </row>
    <row r="45" spans="1:12">
      <c r="A45">
        <v>45</v>
      </c>
      <c r="B45" s="29">
        <v>1991</v>
      </c>
    </row>
    <row r="46" spans="1:12">
      <c r="A46">
        <v>46</v>
      </c>
      <c r="B46" s="29">
        <v>1992</v>
      </c>
    </row>
    <row r="47" spans="1:12">
      <c r="A47">
        <v>47</v>
      </c>
      <c r="B47" s="29">
        <v>1993</v>
      </c>
    </row>
    <row r="48" spans="1:12">
      <c r="A48">
        <v>48</v>
      </c>
      <c r="B48" s="29">
        <v>1994</v>
      </c>
    </row>
    <row r="49" spans="1:2">
      <c r="A49">
        <v>49</v>
      </c>
      <c r="B49" s="29">
        <v>1995</v>
      </c>
    </row>
    <row r="50" spans="1:2">
      <c r="A50">
        <v>50</v>
      </c>
      <c r="B50" s="29">
        <v>1996</v>
      </c>
    </row>
    <row r="51" spans="1:2">
      <c r="A51">
        <v>51</v>
      </c>
      <c r="B51" s="29">
        <v>1997</v>
      </c>
    </row>
    <row r="52" spans="1:2">
      <c r="A52">
        <v>52</v>
      </c>
      <c r="B52" s="29">
        <v>1998</v>
      </c>
    </row>
    <row r="53" spans="1:2">
      <c r="A53">
        <v>53</v>
      </c>
      <c r="B53" s="29">
        <v>1999</v>
      </c>
    </row>
    <row r="54" spans="1:2">
      <c r="A54">
        <v>54</v>
      </c>
      <c r="B54" s="29">
        <v>2000</v>
      </c>
    </row>
    <row r="55" spans="1:2">
      <c r="A55">
        <v>55</v>
      </c>
      <c r="B55" s="29">
        <v>2001</v>
      </c>
    </row>
    <row r="56" spans="1:2">
      <c r="A56">
        <v>56</v>
      </c>
      <c r="B56" s="29">
        <v>2002</v>
      </c>
    </row>
    <row r="57" spans="1:2">
      <c r="A57">
        <v>57</v>
      </c>
      <c r="B57" s="29">
        <v>2003</v>
      </c>
    </row>
    <row r="58" spans="1:2">
      <c r="A58">
        <v>58</v>
      </c>
      <c r="B58" s="29">
        <v>2004</v>
      </c>
    </row>
    <row r="59" spans="1:2">
      <c r="A59">
        <v>59</v>
      </c>
      <c r="B59" s="29">
        <v>2005</v>
      </c>
    </row>
    <row r="60" spans="1:2">
      <c r="A60">
        <v>60</v>
      </c>
      <c r="B60" s="29">
        <v>2006</v>
      </c>
    </row>
    <row r="61" spans="1:2">
      <c r="A61">
        <v>61</v>
      </c>
      <c r="B61" s="29">
        <v>2007</v>
      </c>
    </row>
    <row r="62" spans="1:2">
      <c r="A62">
        <v>62</v>
      </c>
      <c r="B62" s="29">
        <v>2008</v>
      </c>
    </row>
    <row r="63" spans="1:2">
      <c r="A63">
        <v>63</v>
      </c>
      <c r="B63" s="29">
        <v>2009</v>
      </c>
    </row>
    <row r="64" spans="1:2">
      <c r="A64">
        <v>64</v>
      </c>
      <c r="B64" s="29">
        <v>2010</v>
      </c>
    </row>
    <row r="65" spans="1:2">
      <c r="A65">
        <v>65</v>
      </c>
      <c r="B65" s="29">
        <v>2011</v>
      </c>
    </row>
    <row r="66" spans="1:2">
      <c r="A66">
        <v>66</v>
      </c>
      <c r="B66" s="29">
        <v>2012</v>
      </c>
    </row>
    <row r="67" spans="1:2">
      <c r="A67">
        <v>67</v>
      </c>
      <c r="B67" s="29">
        <v>2013</v>
      </c>
    </row>
    <row r="68" spans="1:2">
      <c r="A68">
        <v>68</v>
      </c>
      <c r="B68" s="29">
        <v>2014</v>
      </c>
    </row>
    <row r="69" spans="1:2">
      <c r="A69">
        <v>69</v>
      </c>
      <c r="B69" s="29">
        <v>2015</v>
      </c>
    </row>
    <row r="70" spans="1:2">
      <c r="A70">
        <v>70</v>
      </c>
      <c r="B70" s="29">
        <v>2016</v>
      </c>
    </row>
    <row r="71" spans="1:2">
      <c r="A71">
        <v>71</v>
      </c>
      <c r="B71" s="29">
        <v>2017</v>
      </c>
    </row>
    <row r="72" spans="1:2">
      <c r="A72">
        <v>72</v>
      </c>
      <c r="B72" s="29">
        <v>2018</v>
      </c>
    </row>
    <row r="73" spans="1:2">
      <c r="A73">
        <v>73</v>
      </c>
      <c r="B73" s="29">
        <v>2019</v>
      </c>
    </row>
    <row r="74" spans="1:2">
      <c r="A74">
        <v>74</v>
      </c>
      <c r="B74" s="29">
        <v>2020</v>
      </c>
    </row>
    <row r="75" spans="1:2">
      <c r="A75">
        <v>75</v>
      </c>
      <c r="B75" s="29">
        <v>2021</v>
      </c>
    </row>
    <row r="76" spans="1:2">
      <c r="A76">
        <v>76</v>
      </c>
      <c r="B76" s="29">
        <v>2022</v>
      </c>
    </row>
  </sheetData>
  <sheetProtection autoFilter="0"/>
  <mergeCells count="2">
    <mergeCell ref="B1:H1"/>
    <mergeCell ref="B2:H2"/>
  </mergeCells>
  <phoneticPr fontId="0" type="noConversion"/>
  <printOptions horizontalCentered="1" verticalCentered="1"/>
  <pageMargins left="0.59055118110236227" right="0.59055118110236227" top="0.59055118110236227" bottom="0.59055118110236227" header="0.51181102362204722" footer="0.39370078740157483"/>
  <pageSetup paperSize="9" scale="15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print="0" autoLine="0" autoPict="0">
                <anchor moveWithCells="1">
                  <from>
                    <xdr:col>4</xdr:col>
                    <xdr:colOff>0</xdr:colOff>
                    <xdr:row>2</xdr:row>
                    <xdr:rowOff>38100</xdr:rowOff>
                  </from>
                  <to>
                    <xdr:col>5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Y116"/>
  <sheetViews>
    <sheetView showZeros="0" zoomScale="85" zoomScaleNormal="85" zoomScaleSheetLayoutView="100" workbookViewId="0">
      <pane xSplit="2" ySplit="2" topLeftCell="C3" activePane="bottomRight" state="frozen"/>
      <selection activeCell="AA3" sqref="AA3"/>
      <selection pane="topRight" activeCell="AA3" sqref="AA3"/>
      <selection pane="bottomLeft" activeCell="AA3" sqref="AA3"/>
      <selection pane="bottomRight" activeCell="Y87" sqref="Y87"/>
    </sheetView>
  </sheetViews>
  <sheetFormatPr baseColWidth="10" defaultRowHeight="12.75"/>
  <cols>
    <col min="1" max="1" width="4.7109375" customWidth="1"/>
    <col min="2" max="2" width="6.7109375" customWidth="1"/>
    <col min="3" max="3" width="3.140625" customWidth="1"/>
    <col min="4" max="32" width="8.7109375" customWidth="1"/>
    <col min="33" max="33" width="9.85546875" customWidth="1"/>
  </cols>
  <sheetData>
    <row r="1" spans="1:35">
      <c r="A1" s="13"/>
      <c r="B1" s="14"/>
      <c r="C1" s="14"/>
      <c r="D1" s="14">
        <v>1</v>
      </c>
      <c r="E1" s="14">
        <v>2</v>
      </c>
      <c r="F1" s="14">
        <v>3</v>
      </c>
      <c r="G1" s="14">
        <v>4</v>
      </c>
      <c r="H1" s="14">
        <v>5</v>
      </c>
      <c r="I1" s="14">
        <v>6</v>
      </c>
      <c r="J1" s="14">
        <v>7</v>
      </c>
      <c r="K1" s="14">
        <v>8</v>
      </c>
      <c r="L1" s="14">
        <v>9</v>
      </c>
      <c r="M1" s="14">
        <v>10</v>
      </c>
      <c r="N1" s="14">
        <v>11</v>
      </c>
      <c r="O1" s="14">
        <v>12</v>
      </c>
      <c r="P1" s="14">
        <v>13</v>
      </c>
      <c r="Q1" s="14">
        <v>14</v>
      </c>
      <c r="R1" s="14">
        <v>15</v>
      </c>
      <c r="S1" s="14">
        <v>16</v>
      </c>
      <c r="T1" s="14">
        <v>17</v>
      </c>
      <c r="U1" s="14">
        <v>18</v>
      </c>
      <c r="V1" s="14">
        <v>19</v>
      </c>
      <c r="W1" s="14">
        <v>20</v>
      </c>
      <c r="X1" s="14">
        <v>21</v>
      </c>
      <c r="Y1" s="14">
        <v>22</v>
      </c>
      <c r="Z1" s="14">
        <v>23</v>
      </c>
      <c r="AA1" s="14">
        <v>24</v>
      </c>
      <c r="AB1" s="14">
        <v>25</v>
      </c>
      <c r="AC1" s="14">
        <v>26</v>
      </c>
      <c r="AD1" s="14">
        <v>27</v>
      </c>
      <c r="AE1" s="14">
        <v>28</v>
      </c>
      <c r="AF1" s="14">
        <v>29</v>
      </c>
      <c r="AG1" s="14">
        <v>30</v>
      </c>
      <c r="AI1" s="22">
        <f>HLOOKUP('Diagramm Einzelkultur'!B67,$A$1:$AG$77,1,FALSE)</f>
        <v>1</v>
      </c>
    </row>
    <row r="2" spans="1:35">
      <c r="A2" s="101">
        <f t="shared" ref="A2:A33" si="0">A1+1</f>
        <v>1</v>
      </c>
      <c r="B2" s="102" t="s">
        <v>4</v>
      </c>
      <c r="C2" s="102"/>
      <c r="D2" s="102" t="s">
        <v>34</v>
      </c>
      <c r="E2" s="102" t="s">
        <v>21</v>
      </c>
      <c r="F2" s="103" t="s">
        <v>31</v>
      </c>
      <c r="G2" s="103" t="s">
        <v>32</v>
      </c>
      <c r="H2" s="102" t="s">
        <v>35</v>
      </c>
      <c r="I2" s="103" t="s">
        <v>19</v>
      </c>
      <c r="J2" s="103" t="s">
        <v>30</v>
      </c>
      <c r="K2" s="103" t="s">
        <v>2</v>
      </c>
      <c r="L2" s="103" t="s">
        <v>1</v>
      </c>
      <c r="M2" s="103" t="s">
        <v>5</v>
      </c>
      <c r="N2" s="103" t="s">
        <v>0</v>
      </c>
      <c r="O2" s="103" t="s">
        <v>17</v>
      </c>
      <c r="P2" s="103" t="s">
        <v>7</v>
      </c>
      <c r="Q2" s="103" t="s">
        <v>6</v>
      </c>
      <c r="R2" s="103" t="s">
        <v>18</v>
      </c>
      <c r="S2" s="103" t="s">
        <v>13</v>
      </c>
      <c r="T2" s="103" t="s">
        <v>10</v>
      </c>
      <c r="U2" s="104" t="s">
        <v>47</v>
      </c>
      <c r="V2" s="104" t="s">
        <v>46</v>
      </c>
      <c r="W2" s="63" t="s">
        <v>45</v>
      </c>
      <c r="X2" s="103" t="s">
        <v>11</v>
      </c>
      <c r="Y2" s="63" t="s">
        <v>29</v>
      </c>
      <c r="Z2" s="102" t="s">
        <v>36</v>
      </c>
      <c r="AA2" s="103" t="s">
        <v>14</v>
      </c>
      <c r="AB2" s="103" t="s">
        <v>15</v>
      </c>
      <c r="AC2" s="103" t="s">
        <v>12</v>
      </c>
      <c r="AD2" s="103" t="s">
        <v>16</v>
      </c>
      <c r="AE2" s="103" t="s">
        <v>3</v>
      </c>
      <c r="AF2" s="103" t="s">
        <v>9</v>
      </c>
      <c r="AG2" s="105" t="s">
        <v>20</v>
      </c>
      <c r="AI2" s="22" t="str">
        <f>HLOOKUP('Diagramm Einzelkultur'!B67,$A$1:$AG$77,2,FALSE)</f>
        <v>Landwirtschaftlich genutzte Fläche  (LF, LN)</v>
      </c>
    </row>
    <row r="3" spans="1:35">
      <c r="A3" s="30">
        <f t="shared" si="0"/>
        <v>2</v>
      </c>
      <c r="B3" s="31">
        <v>1938</v>
      </c>
      <c r="C3" s="31"/>
      <c r="D3" s="32">
        <v>2061.56</v>
      </c>
      <c r="E3" s="32">
        <v>836.1</v>
      </c>
      <c r="F3" s="33">
        <v>743.64800000000002</v>
      </c>
      <c r="G3" s="33">
        <v>92.445999999999998</v>
      </c>
      <c r="H3" s="32">
        <v>23.305</v>
      </c>
      <c r="I3" s="32">
        <v>22.259</v>
      </c>
      <c r="J3" s="33">
        <v>1.016</v>
      </c>
      <c r="K3" s="32">
        <v>1149.713</v>
      </c>
      <c r="L3" s="32">
        <v>628.17100000000005</v>
      </c>
      <c r="M3" s="32">
        <v>247.5</v>
      </c>
      <c r="N3" s="32">
        <v>148.5</v>
      </c>
      <c r="O3" s="32">
        <v>7</v>
      </c>
      <c r="P3" s="32">
        <v>8.6069999999999993</v>
      </c>
      <c r="Q3" s="32">
        <v>238.36199999999999</v>
      </c>
      <c r="R3" s="32">
        <v>153.69999999999999</v>
      </c>
      <c r="S3" s="32">
        <v>12.1</v>
      </c>
      <c r="T3" s="32">
        <v>11.401999999999999</v>
      </c>
      <c r="U3" s="94" t="s">
        <v>44</v>
      </c>
      <c r="V3" s="94" t="s">
        <v>44</v>
      </c>
      <c r="W3" s="94" t="s">
        <v>44</v>
      </c>
      <c r="X3" s="32">
        <v>18.361000000000001</v>
      </c>
      <c r="Y3" s="33">
        <v>6.6470000000000002</v>
      </c>
      <c r="Z3" s="33">
        <f>2.039+0.762+0.906</f>
        <v>3.7070000000000003</v>
      </c>
      <c r="AA3" s="33">
        <v>1.4530000000000001</v>
      </c>
      <c r="AB3" s="94">
        <v>6.5819999999999999</v>
      </c>
      <c r="AC3" s="32">
        <v>239.84</v>
      </c>
      <c r="AD3" s="94" t="s">
        <v>44</v>
      </c>
      <c r="AE3" s="32">
        <v>12.3</v>
      </c>
      <c r="AF3" s="32">
        <v>4.7830000000000004</v>
      </c>
      <c r="AG3" s="33">
        <v>28.8</v>
      </c>
      <c r="AH3" s="44"/>
      <c r="AI3" s="38">
        <f>HLOOKUP('Diagramm Einzelkultur'!B67,$A$1:$AG$77,3,FALSE)</f>
        <v>2061.56</v>
      </c>
    </row>
    <row r="4" spans="1:35" ht="13.5" thickBot="1">
      <c r="A4" s="65">
        <f t="shared" si="0"/>
        <v>3</v>
      </c>
      <c r="B4" s="66">
        <v>1949</v>
      </c>
      <c r="C4" s="66"/>
      <c r="D4" s="68">
        <v>1893.953</v>
      </c>
      <c r="E4" s="68">
        <f>F4+G4</f>
        <v>844.74600000000009</v>
      </c>
      <c r="F4" s="68">
        <f>260.777+270.289+223.702</f>
        <v>754.76800000000003</v>
      </c>
      <c r="G4" s="68">
        <f>19.32+32.832+37.826</f>
        <v>89.978000000000009</v>
      </c>
      <c r="H4" s="68">
        <f>11.687+0.173+5.623</f>
        <v>17.483000000000001</v>
      </c>
      <c r="I4" s="68">
        <f>5.702+3.073+4.933</f>
        <v>13.708</v>
      </c>
      <c r="J4" s="68">
        <f>0.548+0.115+0.185</f>
        <v>0.84800000000000009</v>
      </c>
      <c r="K4" s="67">
        <v>1070.5239999999999</v>
      </c>
      <c r="L4" s="67">
        <v>512.73500000000001</v>
      </c>
      <c r="M4" s="67">
        <v>198.74299999999999</v>
      </c>
      <c r="N4" s="67">
        <v>104.869</v>
      </c>
      <c r="O4" s="67">
        <v>7.4130000000000003</v>
      </c>
      <c r="P4" s="67">
        <v>12.518000000000001</v>
      </c>
      <c r="Q4" s="67">
        <v>199.982</v>
      </c>
      <c r="R4" s="67">
        <v>119.6</v>
      </c>
      <c r="S4" s="67">
        <v>9.5060000000000002</v>
      </c>
      <c r="T4" s="67">
        <v>19.38</v>
      </c>
      <c r="U4" s="98" t="s">
        <v>44</v>
      </c>
      <c r="V4" s="98" t="s">
        <v>44</v>
      </c>
      <c r="W4" s="98" t="s">
        <v>44</v>
      </c>
      <c r="X4" s="67">
        <v>22.393999999999998</v>
      </c>
      <c r="Y4" s="98" t="s">
        <v>44</v>
      </c>
      <c r="Z4" s="68">
        <f>4.486+1.192+0.969</f>
        <v>6.6470000000000002</v>
      </c>
      <c r="AA4" s="67">
        <v>0.5</v>
      </c>
      <c r="AB4" s="67">
        <v>5.4980000000000002</v>
      </c>
      <c r="AC4" s="67">
        <v>297.04700000000003</v>
      </c>
      <c r="AD4" s="68">
        <f>46.071+15.578+16.841</f>
        <v>78.490000000000009</v>
      </c>
      <c r="AE4" s="68">
        <v>14.952999999999999</v>
      </c>
      <c r="AF4" s="98" t="s">
        <v>44</v>
      </c>
      <c r="AG4" s="68">
        <f>19.735+6.067+10.258</f>
        <v>36.06</v>
      </c>
      <c r="AH4" s="44"/>
      <c r="AI4" s="38">
        <f>HLOOKUP('Diagramm Einzelkultur'!$B$67,$A$1:$AG$77,4,FALSE)</f>
        <v>1893.953</v>
      </c>
    </row>
    <row r="5" spans="1:35">
      <c r="A5" s="61">
        <f t="shared" si="0"/>
        <v>4</v>
      </c>
      <c r="B5" s="62">
        <v>1950</v>
      </c>
      <c r="C5" s="62"/>
      <c r="D5" s="63">
        <v>1970.184</v>
      </c>
      <c r="E5" s="63">
        <v>843.8</v>
      </c>
      <c r="F5" s="64">
        <v>754.91300000000001</v>
      </c>
      <c r="G5" s="64">
        <v>88.88</v>
      </c>
      <c r="H5" s="63">
        <v>17.376999999999999</v>
      </c>
      <c r="I5" s="63">
        <f>12.16-J5</f>
        <v>11.16</v>
      </c>
      <c r="J5" s="64">
        <v>1</v>
      </c>
      <c r="K5" s="63">
        <v>1062.797</v>
      </c>
      <c r="L5" s="63">
        <v>520.79999999999995</v>
      </c>
      <c r="M5" s="63">
        <v>202.5</v>
      </c>
      <c r="N5" s="63">
        <v>121.3</v>
      </c>
      <c r="O5" s="64">
        <v>4.7</v>
      </c>
      <c r="P5" s="63">
        <v>7.8719999999999999</v>
      </c>
      <c r="Q5" s="63">
        <v>205.7</v>
      </c>
      <c r="R5" s="63">
        <v>120.6</v>
      </c>
      <c r="S5" s="63">
        <v>11.381</v>
      </c>
      <c r="T5" s="63">
        <v>13.2</v>
      </c>
      <c r="U5" s="99">
        <v>6.8659999999999997</v>
      </c>
      <c r="V5" s="64">
        <v>0.36199999999999999</v>
      </c>
      <c r="W5" s="99">
        <v>0.91</v>
      </c>
      <c r="X5" s="63">
        <v>18.741</v>
      </c>
      <c r="Y5" s="99" t="s">
        <v>44</v>
      </c>
      <c r="Z5" s="64">
        <v>6.0789999999999997</v>
      </c>
      <c r="AA5" s="64">
        <v>0.64700000000000002</v>
      </c>
      <c r="AB5" s="64">
        <v>6.4349999999999996</v>
      </c>
      <c r="AC5" s="63">
        <v>288.89999999999998</v>
      </c>
      <c r="AD5" s="64">
        <v>69.051000000000002</v>
      </c>
      <c r="AE5" s="63">
        <v>16.899999999999999</v>
      </c>
      <c r="AF5" s="99" t="s">
        <v>44</v>
      </c>
      <c r="AG5" s="64">
        <v>33.843000000000004</v>
      </c>
      <c r="AH5" s="44"/>
      <c r="AI5" s="38">
        <f>HLOOKUP('Diagramm Einzelkultur'!$B$67,$A$1:$AG$77,5,FALSE)</f>
        <v>1970.184</v>
      </c>
    </row>
    <row r="6" spans="1:35">
      <c r="A6" s="30">
        <f t="shared" si="0"/>
        <v>5</v>
      </c>
      <c r="B6" s="31">
        <v>1951</v>
      </c>
      <c r="C6" s="31"/>
      <c r="D6" s="33">
        <v>1977.979</v>
      </c>
      <c r="E6" s="33">
        <f>F6+G6</f>
        <v>842.55599999999993</v>
      </c>
      <c r="F6" s="33">
        <v>753.38599999999997</v>
      </c>
      <c r="G6" s="33">
        <v>89.17</v>
      </c>
      <c r="H6" s="33">
        <v>17.542000000000002</v>
      </c>
      <c r="I6" s="33">
        <v>10.683999999999999</v>
      </c>
      <c r="J6" s="33">
        <v>1</v>
      </c>
      <c r="K6" s="32">
        <v>1072.713</v>
      </c>
      <c r="L6" s="32">
        <v>519.79999999999995</v>
      </c>
      <c r="M6" s="32">
        <v>202.6</v>
      </c>
      <c r="N6" s="32">
        <v>126.5</v>
      </c>
      <c r="O6" s="33">
        <v>5.2</v>
      </c>
      <c r="P6" s="33">
        <v>6.5510000000000002</v>
      </c>
      <c r="Q6" s="32">
        <v>203.3</v>
      </c>
      <c r="R6" s="32">
        <v>121.1</v>
      </c>
      <c r="S6" s="33">
        <v>12.78</v>
      </c>
      <c r="T6" s="32">
        <v>11.6</v>
      </c>
      <c r="U6" s="94">
        <v>6.2729999999999997</v>
      </c>
      <c r="V6" s="33">
        <v>0.54700000000000004</v>
      </c>
      <c r="W6" s="94">
        <v>0.17100000000000001</v>
      </c>
      <c r="X6" s="33">
        <v>18.806000000000001</v>
      </c>
      <c r="Y6" s="94" t="s">
        <v>44</v>
      </c>
      <c r="Z6" s="33">
        <v>5.5910000000000002</v>
      </c>
      <c r="AA6" s="33">
        <v>0.86299999999999999</v>
      </c>
      <c r="AB6" s="33">
        <v>5.8659999999999997</v>
      </c>
      <c r="AC6" s="32">
        <v>305.89999999999998</v>
      </c>
      <c r="AD6" s="33">
        <v>68.436999999999998</v>
      </c>
      <c r="AE6" s="32">
        <v>15</v>
      </c>
      <c r="AF6" s="94">
        <v>5.5629999999999997</v>
      </c>
      <c r="AG6" s="33">
        <v>34.302</v>
      </c>
      <c r="AH6" s="44"/>
      <c r="AI6" s="38">
        <f>HLOOKUP('Diagramm Einzelkultur'!$B$67,$A$1:$AG$77,6,FALSE)</f>
        <v>1977.979</v>
      </c>
    </row>
    <row r="7" spans="1:35">
      <c r="A7" s="30">
        <f t="shared" si="0"/>
        <v>6</v>
      </c>
      <c r="B7" s="31">
        <v>1952</v>
      </c>
      <c r="C7" s="31"/>
      <c r="D7" s="32">
        <v>1971.47</v>
      </c>
      <c r="E7" s="32">
        <v>828.29700000000003</v>
      </c>
      <c r="F7" s="33">
        <v>740.73800000000006</v>
      </c>
      <c r="G7" s="33">
        <v>87.558999999999997</v>
      </c>
      <c r="H7" s="32">
        <v>17.654</v>
      </c>
      <c r="I7" s="32">
        <f>10.853-J7</f>
        <v>9.8859999999999992</v>
      </c>
      <c r="J7" s="33">
        <v>0.96699999999999997</v>
      </c>
      <c r="K7" s="32">
        <v>1079.8589999999999</v>
      </c>
      <c r="L7" s="32">
        <v>547.14099999999996</v>
      </c>
      <c r="M7" s="32">
        <v>225.9</v>
      </c>
      <c r="N7" s="32">
        <v>130.80000000000001</v>
      </c>
      <c r="O7" s="33">
        <v>5.3</v>
      </c>
      <c r="P7" s="32">
        <v>5.7359999999999998</v>
      </c>
      <c r="Q7" s="32">
        <v>211</v>
      </c>
      <c r="R7" s="32">
        <v>129.9</v>
      </c>
      <c r="S7" s="33">
        <v>12.944000000000001</v>
      </c>
      <c r="T7" s="32">
        <v>12.064</v>
      </c>
      <c r="U7" s="33">
        <v>6.6619999999999999</v>
      </c>
      <c r="V7" s="33">
        <v>0.621</v>
      </c>
      <c r="W7" s="94">
        <v>0.20599999999999999</v>
      </c>
      <c r="X7" s="32">
        <v>16.303999999999998</v>
      </c>
      <c r="Y7" s="33">
        <v>8.1440000000000001</v>
      </c>
      <c r="Z7" s="33">
        <v>4.2830000000000004</v>
      </c>
      <c r="AA7" s="33">
        <v>0.874</v>
      </c>
      <c r="AB7" s="33">
        <v>5.0860000000000003</v>
      </c>
      <c r="AC7" s="32">
        <v>280.57799999999997</v>
      </c>
      <c r="AD7" s="33">
        <v>65.173000000000002</v>
      </c>
      <c r="AE7" s="32">
        <v>14.4</v>
      </c>
      <c r="AF7" s="32">
        <v>5.9930000000000003</v>
      </c>
      <c r="AG7" s="32">
        <v>34.630000000000003</v>
      </c>
      <c r="AH7" s="44"/>
      <c r="AI7" s="38">
        <f>HLOOKUP('Diagramm Einzelkultur'!$B$67,$A$1:$AG$77,7,FALSE)</f>
        <v>1971.47</v>
      </c>
    </row>
    <row r="8" spans="1:35">
      <c r="A8" s="30">
        <f t="shared" si="0"/>
        <v>7</v>
      </c>
      <c r="B8" s="31">
        <v>1953</v>
      </c>
      <c r="C8" s="31"/>
      <c r="D8" s="32">
        <v>1967.1210000000001</v>
      </c>
      <c r="E8" s="32">
        <v>823.21699999999998</v>
      </c>
      <c r="F8" s="33">
        <v>734.97400000000005</v>
      </c>
      <c r="G8" s="33">
        <v>88.242999999999995</v>
      </c>
      <c r="H8" s="32">
        <v>17.763999999999999</v>
      </c>
      <c r="I8" s="32">
        <f>10.947-J8</f>
        <v>10.024999999999999</v>
      </c>
      <c r="J8" s="33">
        <v>0.92200000000000004</v>
      </c>
      <c r="K8" s="32">
        <v>1080.5329999999999</v>
      </c>
      <c r="L8" s="32">
        <v>565.95699999999999</v>
      </c>
      <c r="M8" s="32">
        <v>226.8</v>
      </c>
      <c r="N8" s="32">
        <v>142.1</v>
      </c>
      <c r="O8" s="33">
        <v>5</v>
      </c>
      <c r="P8" s="32">
        <v>5.931</v>
      </c>
      <c r="Q8" s="32">
        <v>213.7</v>
      </c>
      <c r="R8" s="32">
        <v>133.5</v>
      </c>
      <c r="S8" s="33">
        <v>13.259</v>
      </c>
      <c r="T8" s="32">
        <v>12.679</v>
      </c>
      <c r="U8" s="33">
        <v>7.5010000000000003</v>
      </c>
      <c r="V8" s="33">
        <v>0.75700000000000001</v>
      </c>
      <c r="W8" s="33">
        <v>0.28599999999999998</v>
      </c>
      <c r="X8" s="32">
        <v>12.951000000000001</v>
      </c>
      <c r="Y8" s="33">
        <v>5.2350000000000003</v>
      </c>
      <c r="Z8" s="33">
        <v>2.6850000000000001</v>
      </c>
      <c r="AA8" s="33">
        <v>1.0109999999999999</v>
      </c>
      <c r="AB8" s="33">
        <v>4.8170000000000002</v>
      </c>
      <c r="AC8" s="32">
        <v>263.19600000000003</v>
      </c>
      <c r="AD8" s="33">
        <v>63.162999999999997</v>
      </c>
      <c r="AE8" s="32">
        <v>15.3</v>
      </c>
      <c r="AF8" s="32">
        <v>5.1580000000000004</v>
      </c>
      <c r="AG8" s="32">
        <v>34.487000000000002</v>
      </c>
      <c r="AH8" s="44"/>
      <c r="AI8" s="38">
        <f>HLOOKUP('Diagramm Einzelkultur'!$B$67,$A$1:$AG$77,8,FALSE)</f>
        <v>1967.1210000000001</v>
      </c>
    </row>
    <row r="9" spans="1:35">
      <c r="A9" s="30">
        <f t="shared" si="0"/>
        <v>8</v>
      </c>
      <c r="B9" s="31">
        <v>1954</v>
      </c>
      <c r="C9" s="31"/>
      <c r="D9" s="32">
        <v>1970.828</v>
      </c>
      <c r="E9" s="32">
        <v>816.16700000000003</v>
      </c>
      <c r="F9" s="33">
        <v>727.41099999999994</v>
      </c>
      <c r="G9" s="33">
        <v>88.756</v>
      </c>
      <c r="H9" s="32">
        <v>17.963000000000001</v>
      </c>
      <c r="I9" s="32">
        <v>9.9120000000000008</v>
      </c>
      <c r="J9" s="33">
        <v>0.94599999999999995</v>
      </c>
      <c r="K9" s="32">
        <v>1091.077</v>
      </c>
      <c r="L9" s="32">
        <v>586.52599999999995</v>
      </c>
      <c r="M9" s="32">
        <v>213.6</v>
      </c>
      <c r="N9" s="32">
        <v>165.6</v>
      </c>
      <c r="O9" s="33">
        <v>5.5</v>
      </c>
      <c r="P9" s="32">
        <v>5.8659999999999997</v>
      </c>
      <c r="Q9" s="32">
        <v>214.4</v>
      </c>
      <c r="R9" s="32">
        <v>135.80000000000001</v>
      </c>
      <c r="S9" s="33">
        <v>15.837</v>
      </c>
      <c r="T9" s="32">
        <v>11.789</v>
      </c>
      <c r="U9" s="33">
        <v>6.82</v>
      </c>
      <c r="V9" s="33">
        <v>0.81899999999999995</v>
      </c>
      <c r="W9" s="33">
        <v>0.31</v>
      </c>
      <c r="X9" s="32">
        <v>11.637</v>
      </c>
      <c r="Y9" s="33">
        <v>3.3450000000000002</v>
      </c>
      <c r="Z9" s="33">
        <f>0.876+0.245+0.099+0.022</f>
        <v>1.242</v>
      </c>
      <c r="AA9" s="33">
        <v>0.97499999999999998</v>
      </c>
      <c r="AB9" s="33">
        <v>6.3250000000000002</v>
      </c>
      <c r="AC9" s="32">
        <v>254.83699999999999</v>
      </c>
      <c r="AD9" s="33">
        <v>55.27</v>
      </c>
      <c r="AE9" s="32">
        <v>14.6</v>
      </c>
      <c r="AF9" s="32">
        <v>5.8079999999999998</v>
      </c>
      <c r="AG9" s="32">
        <v>34.601999999999997</v>
      </c>
      <c r="AH9" s="44"/>
      <c r="AI9" s="38">
        <f>HLOOKUP('Diagramm Einzelkultur'!$B$67,$A$1:$AG$77,9,FALSE)</f>
        <v>1970.828</v>
      </c>
    </row>
    <row r="10" spans="1:35">
      <c r="A10" s="30">
        <f t="shared" si="0"/>
        <v>9</v>
      </c>
      <c r="B10" s="31">
        <v>1955</v>
      </c>
      <c r="C10" s="31"/>
      <c r="D10" s="32">
        <v>1954.5930000000001</v>
      </c>
      <c r="E10" s="32">
        <v>824.06</v>
      </c>
      <c r="F10" s="33">
        <v>734.78</v>
      </c>
      <c r="G10" s="33">
        <v>89.3</v>
      </c>
      <c r="H10" s="32">
        <v>18.663</v>
      </c>
      <c r="I10" s="32">
        <v>11.297000000000001</v>
      </c>
      <c r="J10" s="33">
        <v>0.93799999999999994</v>
      </c>
      <c r="K10" s="32">
        <v>1062.9570000000001</v>
      </c>
      <c r="L10" s="32">
        <v>572.44799999999998</v>
      </c>
      <c r="M10" s="32">
        <v>235.1</v>
      </c>
      <c r="N10" s="32">
        <v>151.1</v>
      </c>
      <c r="O10" s="33">
        <v>5</v>
      </c>
      <c r="P10" s="32">
        <v>5.907</v>
      </c>
      <c r="Q10" s="32">
        <v>207.6</v>
      </c>
      <c r="R10" s="32">
        <v>127.3</v>
      </c>
      <c r="S10" s="32">
        <v>15.6</v>
      </c>
      <c r="T10" s="32">
        <v>12.06</v>
      </c>
      <c r="U10" s="33">
        <v>7.2</v>
      </c>
      <c r="V10" s="33">
        <v>0.87</v>
      </c>
      <c r="W10" s="33">
        <v>0.36099999999999999</v>
      </c>
      <c r="X10" s="32">
        <v>11.752000000000001</v>
      </c>
      <c r="Y10" s="33">
        <v>3.5720000000000001</v>
      </c>
      <c r="Z10" s="94">
        <v>1.3</v>
      </c>
      <c r="AA10" s="33">
        <v>0.92500000000000004</v>
      </c>
      <c r="AB10" s="33">
        <v>6.048</v>
      </c>
      <c r="AC10" s="32">
        <v>246.15799999999999</v>
      </c>
      <c r="AD10" s="33">
        <f>AC10-90.4-77.2-13.8</f>
        <v>64.757999999999981</v>
      </c>
      <c r="AE10" s="32">
        <v>13.8</v>
      </c>
      <c r="AF10" s="32">
        <v>6.8479999999999999</v>
      </c>
      <c r="AG10" s="32">
        <v>36.512999999999998</v>
      </c>
      <c r="AH10" s="44"/>
      <c r="AI10" s="38">
        <f>HLOOKUP('Diagramm Einzelkultur'!$B$67,$A$1:$AG$77,10,FALSE)</f>
        <v>1954.5930000000001</v>
      </c>
    </row>
    <row r="11" spans="1:35">
      <c r="A11" s="30">
        <f t="shared" si="0"/>
        <v>10</v>
      </c>
      <c r="B11" s="31">
        <v>1956</v>
      </c>
      <c r="C11" s="31"/>
      <c r="D11" s="32">
        <v>1954.5550000000001</v>
      </c>
      <c r="E11" s="32">
        <v>828.995</v>
      </c>
      <c r="F11" s="33">
        <v>738.41700000000003</v>
      </c>
      <c r="G11" s="33">
        <v>89.885000000000005</v>
      </c>
      <c r="H11" s="32">
        <v>18.602</v>
      </c>
      <c r="I11" s="32">
        <v>10.208</v>
      </c>
      <c r="J11" s="33">
        <v>0.89200000000000002</v>
      </c>
      <c r="K11" s="32">
        <v>1059.1610000000001</v>
      </c>
      <c r="L11" s="32">
        <v>568.27499999999998</v>
      </c>
      <c r="M11" s="32">
        <v>204.6</v>
      </c>
      <c r="N11" s="32">
        <v>175.2</v>
      </c>
      <c r="O11" s="33">
        <v>5.5</v>
      </c>
      <c r="P11" s="32">
        <v>5.4820000000000002</v>
      </c>
      <c r="Q11" s="32">
        <v>210.2</v>
      </c>
      <c r="R11" s="32">
        <v>132.4</v>
      </c>
      <c r="S11" s="33">
        <v>15.558999999999999</v>
      </c>
      <c r="T11" s="32">
        <v>14.090999999999999</v>
      </c>
      <c r="U11" s="94">
        <v>7.13</v>
      </c>
      <c r="V11" s="33">
        <v>0.90500000000000003</v>
      </c>
      <c r="W11" s="94">
        <v>0.3876</v>
      </c>
      <c r="X11" s="32">
        <v>11.64</v>
      </c>
      <c r="Y11" s="33">
        <f>0.727+0.301+0.097+0.566+0.737+0.667</f>
        <v>3.0949999999999998</v>
      </c>
      <c r="Z11" s="33">
        <v>1.028</v>
      </c>
      <c r="AA11" s="33">
        <v>0.91400000000000003</v>
      </c>
      <c r="AB11" s="33">
        <v>6.0679999999999996</v>
      </c>
      <c r="AC11" s="32">
        <v>241.626</v>
      </c>
      <c r="AD11" s="33">
        <v>56.137999999999998</v>
      </c>
      <c r="AE11" s="32">
        <v>12.9</v>
      </c>
      <c r="AF11" s="32">
        <v>7.6420000000000003</v>
      </c>
      <c r="AG11" s="32">
        <v>36.54</v>
      </c>
      <c r="AH11" s="44"/>
      <c r="AI11" s="38">
        <f>HLOOKUP('Diagramm Einzelkultur'!$B$67,$A$1:$AG$77,11,FALSE)</f>
        <v>1954.5550000000001</v>
      </c>
    </row>
    <row r="12" spans="1:35">
      <c r="A12" s="30">
        <f t="shared" si="0"/>
        <v>11</v>
      </c>
      <c r="B12" s="31">
        <v>1957</v>
      </c>
      <c r="C12" s="31"/>
      <c r="D12" s="32">
        <v>1950.2950000000001</v>
      </c>
      <c r="E12" s="32">
        <v>820.05399999999997</v>
      </c>
      <c r="F12" s="33">
        <v>731.44100000000003</v>
      </c>
      <c r="G12" s="33">
        <v>88.613</v>
      </c>
      <c r="H12" s="32">
        <v>18.329999999999998</v>
      </c>
      <c r="I12" s="32">
        <v>9.843</v>
      </c>
      <c r="J12" s="33">
        <v>0.871</v>
      </c>
      <c r="K12" s="32">
        <v>1063.8409999999999</v>
      </c>
      <c r="L12" s="32">
        <v>562.35199999999998</v>
      </c>
      <c r="M12" s="32">
        <v>229.5</v>
      </c>
      <c r="N12" s="32">
        <v>154.19999999999999</v>
      </c>
      <c r="O12" s="33">
        <v>4.0999999999999996</v>
      </c>
      <c r="P12" s="32">
        <v>6.0579999999999998</v>
      </c>
      <c r="Q12" s="32">
        <v>214.00800000000001</v>
      </c>
      <c r="R12" s="32">
        <v>134.30000000000001</v>
      </c>
      <c r="S12" s="33">
        <v>17.431999999999999</v>
      </c>
      <c r="T12" s="32">
        <v>14.478999999999999</v>
      </c>
      <c r="U12" s="94">
        <v>7.9269999999999996</v>
      </c>
      <c r="V12" s="33">
        <v>0.93799999999999994</v>
      </c>
      <c r="W12" s="94">
        <v>0.4607</v>
      </c>
      <c r="X12" s="32">
        <v>10.351000000000001</v>
      </c>
      <c r="Y12" s="33">
        <f>1+0.3+0.131+0.629+0.162</f>
        <v>2.222</v>
      </c>
      <c r="Z12" s="33">
        <v>1.3</v>
      </c>
      <c r="AA12" s="33">
        <v>0.92</v>
      </c>
      <c r="AB12" s="33">
        <v>6.0490000000000004</v>
      </c>
      <c r="AC12" s="32">
        <v>249.268</v>
      </c>
      <c r="AD12" s="33">
        <v>62.688000000000002</v>
      </c>
      <c r="AE12" s="32">
        <v>14.2</v>
      </c>
      <c r="AF12" s="32">
        <v>6.3250000000000002</v>
      </c>
      <c r="AG12" s="32">
        <v>37.203000000000003</v>
      </c>
      <c r="AH12" s="44"/>
      <c r="AI12" s="38">
        <f>HLOOKUP('Diagramm Einzelkultur'!$B$67,$A$1:$AG$77,12,FALSE)</f>
        <v>1950.2950000000001</v>
      </c>
    </row>
    <row r="13" spans="1:35">
      <c r="A13" s="30">
        <f t="shared" si="0"/>
        <v>12</v>
      </c>
      <c r="B13" s="31">
        <v>1958</v>
      </c>
      <c r="C13" s="31"/>
      <c r="D13" s="32">
        <v>1946.8969999999999</v>
      </c>
      <c r="E13" s="32">
        <v>819.73699999999997</v>
      </c>
      <c r="F13" s="33">
        <v>716.10199999999998</v>
      </c>
      <c r="G13" s="33">
        <v>88.790999999999997</v>
      </c>
      <c r="H13" s="32">
        <v>18.332000000000001</v>
      </c>
      <c r="I13" s="32">
        <v>9.9450000000000003</v>
      </c>
      <c r="J13" s="33">
        <v>0.85499999999999998</v>
      </c>
      <c r="K13" s="32">
        <v>1060.425</v>
      </c>
      <c r="L13" s="32">
        <v>567.08399999999995</v>
      </c>
      <c r="M13" s="32">
        <v>247.4</v>
      </c>
      <c r="N13" s="32">
        <v>150.9</v>
      </c>
      <c r="O13" s="33">
        <v>3.2</v>
      </c>
      <c r="P13" s="32">
        <v>6.0839999999999996</v>
      </c>
      <c r="Q13" s="32">
        <v>210.16800000000001</v>
      </c>
      <c r="R13" s="32">
        <v>129.9</v>
      </c>
      <c r="S13" s="33">
        <v>18.007999999999999</v>
      </c>
      <c r="T13" s="32">
        <v>14.805999999999999</v>
      </c>
      <c r="U13" s="33">
        <v>7.859</v>
      </c>
      <c r="V13" s="33">
        <v>0.99</v>
      </c>
      <c r="W13" s="33">
        <v>0.56200000000000006</v>
      </c>
      <c r="X13" s="32">
        <v>10.929</v>
      </c>
      <c r="Y13" s="33">
        <f>0.128+0.77+0.155+0.396+1.283</f>
        <v>2.7319999999999998</v>
      </c>
      <c r="Z13" s="33">
        <f>1.283+0.396</f>
        <v>1.6789999999999998</v>
      </c>
      <c r="AA13" s="33">
        <v>1.006</v>
      </c>
      <c r="AB13" s="33">
        <v>3.8559999999999999</v>
      </c>
      <c r="AC13" s="33">
        <v>245.012</v>
      </c>
      <c r="AD13" s="33">
        <v>65.429000000000002</v>
      </c>
      <c r="AE13" s="32">
        <v>13.5</v>
      </c>
      <c r="AF13" s="32">
        <v>6.3419999999999996</v>
      </c>
      <c r="AG13" s="32">
        <v>37.453000000000003</v>
      </c>
      <c r="AH13" s="44"/>
      <c r="AI13" s="38">
        <f>HLOOKUP('Diagramm Einzelkultur'!$B$67,$A$1:$AG$77,13,FALSE)</f>
        <v>1946.8969999999999</v>
      </c>
    </row>
    <row r="14" spans="1:35" ht="13.5" thickBot="1">
      <c r="A14" s="65">
        <f t="shared" si="0"/>
        <v>13</v>
      </c>
      <c r="B14" s="66">
        <v>1959</v>
      </c>
      <c r="C14" s="66"/>
      <c r="D14" s="67">
        <v>1939.9939999999999</v>
      </c>
      <c r="E14" s="67">
        <v>819.43299999999999</v>
      </c>
      <c r="F14" s="68">
        <v>715.78399999999999</v>
      </c>
      <c r="G14" s="68">
        <v>89.260999999999996</v>
      </c>
      <c r="H14" s="67">
        <v>18.338999999999999</v>
      </c>
      <c r="I14" s="67">
        <v>10.082000000000001</v>
      </c>
      <c r="J14" s="68">
        <v>0.89200000000000002</v>
      </c>
      <c r="K14" s="67">
        <v>1053.239</v>
      </c>
      <c r="L14" s="67">
        <v>567.97799999999995</v>
      </c>
      <c r="M14" s="67">
        <v>248.1</v>
      </c>
      <c r="N14" s="67">
        <v>153.9</v>
      </c>
      <c r="O14" s="68">
        <v>3.4</v>
      </c>
      <c r="P14" s="67">
        <v>4.6710000000000003</v>
      </c>
      <c r="Q14" s="67">
        <v>206.446</v>
      </c>
      <c r="R14" s="67">
        <v>127.5</v>
      </c>
      <c r="S14" s="68">
        <v>18.14</v>
      </c>
      <c r="T14" s="67">
        <v>14.093999999999999</v>
      </c>
      <c r="U14" s="68">
        <v>7.6829999999999998</v>
      </c>
      <c r="V14" s="68">
        <v>1.0209999999999999</v>
      </c>
      <c r="W14" s="68">
        <v>0.55900000000000005</v>
      </c>
      <c r="X14" s="67">
        <v>9.4489999999999998</v>
      </c>
      <c r="Y14" s="98">
        <f>0.131+0.087+0.137+0.341+1.108</f>
        <v>1.804</v>
      </c>
      <c r="Z14" s="68">
        <v>1.4490000000000001</v>
      </c>
      <c r="AA14" s="68">
        <v>0.99099999999999999</v>
      </c>
      <c r="AB14" s="68">
        <v>3.569</v>
      </c>
      <c r="AC14" s="68">
        <v>243.7</v>
      </c>
      <c r="AD14" s="68">
        <v>72.698999999999998</v>
      </c>
      <c r="AE14" s="67">
        <v>10.9</v>
      </c>
      <c r="AF14" s="67">
        <v>6.3810000000000002</v>
      </c>
      <c r="AG14" s="67">
        <v>37.881</v>
      </c>
      <c r="AH14" s="44"/>
      <c r="AI14" s="38">
        <f>HLOOKUP('Diagramm Einzelkultur'!$B$67,$A$1:$AG$77,14,FALSE)</f>
        <v>1939.9939999999999</v>
      </c>
    </row>
    <row r="15" spans="1:35">
      <c r="A15" s="61">
        <f t="shared" si="0"/>
        <v>14</v>
      </c>
      <c r="B15" s="62">
        <v>1960</v>
      </c>
      <c r="C15" s="62"/>
      <c r="D15" s="63">
        <v>1928.011</v>
      </c>
      <c r="E15" s="63">
        <v>823.02099999999996</v>
      </c>
      <c r="F15" s="64">
        <v>719.8</v>
      </c>
      <c r="G15" s="64">
        <v>89</v>
      </c>
      <c r="H15" s="63">
        <v>19.317</v>
      </c>
      <c r="I15" s="63">
        <v>12.26</v>
      </c>
      <c r="J15" s="64">
        <v>1.0389999999999999</v>
      </c>
      <c r="K15" s="63">
        <v>1031.7739999999999</v>
      </c>
      <c r="L15" s="63">
        <v>557.67399999999998</v>
      </c>
      <c r="M15" s="63">
        <v>246.2</v>
      </c>
      <c r="N15" s="63">
        <v>152.5</v>
      </c>
      <c r="O15" s="64">
        <v>3.9</v>
      </c>
      <c r="P15" s="63">
        <v>4.82</v>
      </c>
      <c r="Q15" s="63">
        <v>203.83500000000001</v>
      </c>
      <c r="R15" s="63">
        <v>125.1</v>
      </c>
      <c r="S15" s="63">
        <v>18.7</v>
      </c>
      <c r="T15" s="63">
        <v>14.337999999999999</v>
      </c>
      <c r="U15" s="64">
        <v>8.3409999999999993</v>
      </c>
      <c r="V15" s="64">
        <v>1.272</v>
      </c>
      <c r="W15" s="64">
        <v>0.54300000000000004</v>
      </c>
      <c r="X15" s="63">
        <v>9.8019999999999996</v>
      </c>
      <c r="Y15" s="64">
        <v>2.0470000000000002</v>
      </c>
      <c r="Z15" s="64">
        <v>2</v>
      </c>
      <c r="AA15" s="63">
        <v>0.90700000000000003</v>
      </c>
      <c r="AB15" s="63">
        <v>3.1960000000000002</v>
      </c>
      <c r="AC15" s="63">
        <v>231.81200000000001</v>
      </c>
      <c r="AD15" s="64">
        <f>AC15-88.1-54.6-10.6</f>
        <v>78.512000000000029</v>
      </c>
      <c r="AE15" s="63">
        <v>10.6</v>
      </c>
      <c r="AF15" s="63">
        <v>9.4930000000000003</v>
      </c>
      <c r="AG15" s="64">
        <v>40.456000000000003</v>
      </c>
      <c r="AH15" s="44"/>
      <c r="AI15" s="38">
        <f>HLOOKUP('Diagramm Einzelkultur'!$B$67,$A$1:$AG$77,15,FALSE)</f>
        <v>1928.011</v>
      </c>
    </row>
    <row r="16" spans="1:35">
      <c r="A16" s="30">
        <f t="shared" si="0"/>
        <v>15</v>
      </c>
      <c r="B16" s="31">
        <v>1961</v>
      </c>
      <c r="C16" s="31"/>
      <c r="D16" s="32">
        <v>1919.6469999999999</v>
      </c>
      <c r="E16" s="32">
        <v>818.16</v>
      </c>
      <c r="F16" s="33">
        <v>716.26199999999994</v>
      </c>
      <c r="G16" s="33">
        <v>88.855999999999995</v>
      </c>
      <c r="H16" s="32">
        <v>19.388000000000002</v>
      </c>
      <c r="I16" s="32">
        <v>12.75</v>
      </c>
      <c r="J16" s="33">
        <v>1.046</v>
      </c>
      <c r="K16" s="32">
        <v>1027.2</v>
      </c>
      <c r="L16" s="32">
        <v>554.97</v>
      </c>
      <c r="M16" s="32">
        <v>246.1</v>
      </c>
      <c r="N16" s="32">
        <v>155.69999999999999</v>
      </c>
      <c r="O16" s="33">
        <v>4.5</v>
      </c>
      <c r="P16" s="32">
        <v>4.6790000000000003</v>
      </c>
      <c r="Q16" s="32">
        <v>191.6</v>
      </c>
      <c r="R16" s="32">
        <v>117</v>
      </c>
      <c r="S16" s="33">
        <v>15.867000000000001</v>
      </c>
      <c r="T16" s="32">
        <v>13.2</v>
      </c>
      <c r="U16" s="33">
        <v>9.0269999999999992</v>
      </c>
      <c r="V16" s="33">
        <v>1.252</v>
      </c>
      <c r="W16" s="33">
        <v>0.496</v>
      </c>
      <c r="X16" s="32">
        <v>9.0169999999999995</v>
      </c>
      <c r="Y16" s="33">
        <v>2.2690000000000001</v>
      </c>
      <c r="Z16" s="33">
        <v>2.2999999999999998</v>
      </c>
      <c r="AA16" s="32">
        <v>0.84</v>
      </c>
      <c r="AB16" s="32">
        <v>1.889</v>
      </c>
      <c r="AC16" s="32">
        <v>243.5</v>
      </c>
      <c r="AD16" s="33">
        <v>76.013999999999996</v>
      </c>
      <c r="AE16" s="32">
        <v>7.9</v>
      </c>
      <c r="AF16" s="32">
        <v>10.17</v>
      </c>
      <c r="AG16" s="33">
        <v>41.018999999999998</v>
      </c>
      <c r="AH16" s="44"/>
      <c r="AI16" s="38">
        <f>HLOOKUP('Diagramm Einzelkultur'!$B$67,$A$1:$AG$77,16,FALSE)</f>
        <v>1919.6469999999999</v>
      </c>
    </row>
    <row r="17" spans="1:35">
      <c r="A17" s="30">
        <f t="shared" si="0"/>
        <v>16</v>
      </c>
      <c r="B17" s="31">
        <v>1962</v>
      </c>
      <c r="C17" s="31"/>
      <c r="D17" s="32">
        <v>1909.489</v>
      </c>
      <c r="E17" s="32">
        <v>813.59</v>
      </c>
      <c r="F17" s="33">
        <v>712.5</v>
      </c>
      <c r="G17" s="33">
        <v>88.2</v>
      </c>
      <c r="H17" s="33">
        <v>19.449000000000002</v>
      </c>
      <c r="I17" s="33">
        <v>13.009</v>
      </c>
      <c r="J17" s="33">
        <v>1.115</v>
      </c>
      <c r="K17" s="32">
        <v>1020.8</v>
      </c>
      <c r="L17" s="32">
        <v>556.6</v>
      </c>
      <c r="M17" s="32">
        <v>193.5</v>
      </c>
      <c r="N17" s="32">
        <v>180.2</v>
      </c>
      <c r="O17" s="33">
        <v>7.7</v>
      </c>
      <c r="P17" s="32">
        <v>6.8650000000000002</v>
      </c>
      <c r="Q17" s="32">
        <v>195.4</v>
      </c>
      <c r="R17" s="32">
        <v>117.7</v>
      </c>
      <c r="S17" s="33">
        <v>17.876000000000001</v>
      </c>
      <c r="T17" s="32">
        <v>14.3</v>
      </c>
      <c r="U17" s="33">
        <v>10.176</v>
      </c>
      <c r="V17" s="33">
        <v>1.2569999999999999</v>
      </c>
      <c r="W17" s="33">
        <v>0.46200000000000002</v>
      </c>
      <c r="X17" s="32">
        <v>8.1189999999999998</v>
      </c>
      <c r="Y17" s="33">
        <v>2</v>
      </c>
      <c r="Z17" s="33">
        <v>2</v>
      </c>
      <c r="AA17" s="32">
        <v>0.82599999999999996</v>
      </c>
      <c r="AB17" s="32">
        <v>1.8580000000000001</v>
      </c>
      <c r="AC17" s="32">
        <v>229.3</v>
      </c>
      <c r="AD17" s="33">
        <v>75.850999999999999</v>
      </c>
      <c r="AE17" s="32">
        <v>11.2</v>
      </c>
      <c r="AF17" s="32">
        <v>10.205</v>
      </c>
      <c r="AG17" s="33">
        <v>41.37</v>
      </c>
      <c r="AH17" s="44"/>
      <c r="AI17" s="38">
        <f>HLOOKUP('Diagramm Einzelkultur'!$B$67,$A$1:$AG$77,17,FALSE)</f>
        <v>1909.489</v>
      </c>
    </row>
    <row r="18" spans="1:35">
      <c r="A18" s="30">
        <f t="shared" si="0"/>
        <v>17</v>
      </c>
      <c r="B18" s="31">
        <v>1963</v>
      </c>
      <c r="C18" s="31"/>
      <c r="D18" s="32">
        <v>1902.8150000000001</v>
      </c>
      <c r="E18" s="32">
        <v>812.03300000000002</v>
      </c>
      <c r="F18" s="33">
        <v>710.7</v>
      </c>
      <c r="G18" s="33">
        <v>88.6</v>
      </c>
      <c r="H18" s="33">
        <v>19.5</v>
      </c>
      <c r="I18" s="33">
        <v>13.522</v>
      </c>
      <c r="J18" s="33">
        <v>1.1359999999999999</v>
      </c>
      <c r="K18" s="32">
        <v>1014.7</v>
      </c>
      <c r="L18" s="32">
        <v>552.20000000000005</v>
      </c>
      <c r="M18" s="32">
        <v>232.1</v>
      </c>
      <c r="N18" s="32">
        <v>153.80000000000001</v>
      </c>
      <c r="O18" s="33">
        <v>8.1999999999999993</v>
      </c>
      <c r="P18" s="32">
        <v>8.2729999999999997</v>
      </c>
      <c r="Q18" s="32">
        <v>186.7</v>
      </c>
      <c r="R18" s="32">
        <v>112</v>
      </c>
      <c r="S18" s="32">
        <v>19.600000000000001</v>
      </c>
      <c r="T18" s="32">
        <v>14.3</v>
      </c>
      <c r="U18" s="33">
        <v>9.6649999999999991</v>
      </c>
      <c r="V18" s="33">
        <v>1.0940000000000001</v>
      </c>
      <c r="W18" s="33">
        <v>0.41</v>
      </c>
      <c r="X18" s="32">
        <v>8.2970000000000006</v>
      </c>
      <c r="Y18" s="33">
        <v>2.056</v>
      </c>
      <c r="Z18" s="33">
        <v>2.1</v>
      </c>
      <c r="AA18" s="32">
        <v>0.84199999999999997</v>
      </c>
      <c r="AB18" s="32">
        <v>2.0299999999999998</v>
      </c>
      <c r="AC18" s="32">
        <v>232.3</v>
      </c>
      <c r="AD18" s="33">
        <v>74.135000000000005</v>
      </c>
      <c r="AE18" s="32">
        <v>7.9</v>
      </c>
      <c r="AF18" s="32">
        <v>12.679</v>
      </c>
      <c r="AG18" s="33">
        <v>41.768000000000001</v>
      </c>
      <c r="AH18" s="44"/>
      <c r="AI18" s="38">
        <f>HLOOKUP('Diagramm Einzelkultur'!$B$67,$A$1:$AG$77,18,FALSE)</f>
        <v>1902.8150000000001</v>
      </c>
    </row>
    <row r="19" spans="1:35">
      <c r="A19" s="30">
        <f t="shared" si="0"/>
        <v>18</v>
      </c>
      <c r="B19" s="31">
        <v>1964</v>
      </c>
      <c r="C19" s="31"/>
      <c r="D19" s="32">
        <v>1894.6759999999999</v>
      </c>
      <c r="E19" s="32">
        <v>801.66399999999999</v>
      </c>
      <c r="F19" s="33">
        <v>701.07399999999996</v>
      </c>
      <c r="G19" s="33">
        <v>88.009</v>
      </c>
      <c r="H19" s="33">
        <v>19.016999999999999</v>
      </c>
      <c r="I19" s="33">
        <v>18.478000000000002</v>
      </c>
      <c r="J19" s="33">
        <v>1.1200000000000001</v>
      </c>
      <c r="K19" s="32">
        <v>1010.8</v>
      </c>
      <c r="L19" s="32">
        <v>565.4</v>
      </c>
      <c r="M19" s="32">
        <v>250.6</v>
      </c>
      <c r="N19" s="32">
        <v>150.6</v>
      </c>
      <c r="O19" s="33">
        <v>10.3</v>
      </c>
      <c r="P19" s="32">
        <v>4.9770000000000003</v>
      </c>
      <c r="Q19" s="32">
        <v>176.5</v>
      </c>
      <c r="R19" s="32">
        <v>102.7</v>
      </c>
      <c r="S19" s="33">
        <v>21.821000000000002</v>
      </c>
      <c r="T19" s="32">
        <v>13.7</v>
      </c>
      <c r="U19" s="33">
        <v>9.0250000000000004</v>
      </c>
      <c r="V19" s="33">
        <v>1.157</v>
      </c>
      <c r="W19" s="33">
        <v>0.38100000000000001</v>
      </c>
      <c r="X19" s="32">
        <v>7.8159999999999998</v>
      </c>
      <c r="Y19" s="33">
        <v>2</v>
      </c>
      <c r="Z19" s="33">
        <v>1.9</v>
      </c>
      <c r="AA19" s="33">
        <v>0.873</v>
      </c>
      <c r="AB19" s="33">
        <v>1.968</v>
      </c>
      <c r="AC19" s="32">
        <v>230.3</v>
      </c>
      <c r="AD19" s="33">
        <v>74.724000000000004</v>
      </c>
      <c r="AE19" s="32">
        <v>8.9</v>
      </c>
      <c r="AF19" s="32">
        <v>12.115</v>
      </c>
      <c r="AG19" s="33">
        <v>43.509</v>
      </c>
      <c r="AH19" s="44"/>
      <c r="AI19" s="38">
        <f>HLOOKUP('Diagramm Einzelkultur'!$B$67,$A$1:$AG$77,19,FALSE)</f>
        <v>1894.6759999999999</v>
      </c>
    </row>
    <row r="20" spans="1:35">
      <c r="A20" s="30">
        <f t="shared" si="0"/>
        <v>19</v>
      </c>
      <c r="B20" s="31">
        <v>1965</v>
      </c>
      <c r="C20" s="31"/>
      <c r="D20" s="32">
        <v>1886.1</v>
      </c>
      <c r="E20" s="32">
        <v>800.4</v>
      </c>
      <c r="F20" s="33">
        <v>699.3</v>
      </c>
      <c r="G20" s="33">
        <v>86.4</v>
      </c>
      <c r="H20" s="32">
        <v>19.3</v>
      </c>
      <c r="I20" s="32">
        <v>22.3</v>
      </c>
      <c r="J20" s="33">
        <v>1.2</v>
      </c>
      <c r="K20" s="32">
        <v>999.1</v>
      </c>
      <c r="L20" s="32">
        <v>560.5</v>
      </c>
      <c r="M20" s="32">
        <v>237.3</v>
      </c>
      <c r="N20" s="32">
        <v>151.5</v>
      </c>
      <c r="O20" s="33">
        <v>13.5</v>
      </c>
      <c r="P20" s="32">
        <v>7.6</v>
      </c>
      <c r="Q20" s="32">
        <v>171.2</v>
      </c>
      <c r="R20" s="32">
        <v>102.4</v>
      </c>
      <c r="S20" s="32">
        <v>18.2</v>
      </c>
      <c r="T20" s="32">
        <v>13.9</v>
      </c>
      <c r="U20" s="33">
        <v>7.9850000000000003</v>
      </c>
      <c r="V20" s="33">
        <v>1.2050000000000001</v>
      </c>
      <c r="W20" s="33">
        <v>0.48</v>
      </c>
      <c r="X20" s="32">
        <v>7.5</v>
      </c>
      <c r="Y20" s="33">
        <v>1.968</v>
      </c>
      <c r="Z20" s="33">
        <v>1.9</v>
      </c>
      <c r="AA20" s="32">
        <v>0.88300000000000001</v>
      </c>
      <c r="AB20" s="32">
        <v>1.8580000000000001</v>
      </c>
      <c r="AC20" s="32">
        <v>220.4</v>
      </c>
      <c r="AD20" s="33">
        <f>AC20-67.2-47.3-16.5</f>
        <v>89.399999999999991</v>
      </c>
      <c r="AE20" s="32">
        <v>16.5</v>
      </c>
      <c r="AF20" s="32">
        <v>18.09</v>
      </c>
      <c r="AG20" s="33">
        <v>43.7</v>
      </c>
      <c r="AH20" s="44"/>
      <c r="AI20" s="38">
        <f>HLOOKUP('Diagramm Einzelkultur'!$B$67,$A$1:$AG$77,20,FALSE)</f>
        <v>1886.1</v>
      </c>
    </row>
    <row r="21" spans="1:35">
      <c r="A21" s="30">
        <f t="shared" si="0"/>
        <v>20</v>
      </c>
      <c r="B21" s="31">
        <v>1966</v>
      </c>
      <c r="C21" s="31"/>
      <c r="D21" s="32">
        <v>1878.213</v>
      </c>
      <c r="E21" s="32">
        <v>796.71199999999999</v>
      </c>
      <c r="F21" s="33">
        <v>694.2</v>
      </c>
      <c r="G21" s="33">
        <v>84.9</v>
      </c>
      <c r="H21" s="32">
        <v>19.53</v>
      </c>
      <c r="I21" s="32">
        <v>23.763000000000002</v>
      </c>
      <c r="J21" s="33">
        <v>1.3</v>
      </c>
      <c r="K21" s="32">
        <v>992.7</v>
      </c>
      <c r="L21" s="32">
        <v>562</v>
      </c>
      <c r="M21" s="32">
        <v>235.2</v>
      </c>
      <c r="N21" s="32">
        <v>155.6</v>
      </c>
      <c r="O21" s="33">
        <v>15.3</v>
      </c>
      <c r="P21" s="32">
        <v>7.5039999999999996</v>
      </c>
      <c r="Q21" s="32">
        <v>168.9</v>
      </c>
      <c r="R21" s="32">
        <v>100.7</v>
      </c>
      <c r="S21" s="33">
        <v>18.3</v>
      </c>
      <c r="T21" s="32">
        <v>14.5</v>
      </c>
      <c r="U21" s="33">
        <v>8.7040000000000006</v>
      </c>
      <c r="V21" s="33">
        <v>1.1519999999999999</v>
      </c>
      <c r="W21" s="33">
        <v>0.40899999999999997</v>
      </c>
      <c r="X21" s="32">
        <v>7.9359999999999999</v>
      </c>
      <c r="Y21" s="33">
        <v>1.7</v>
      </c>
      <c r="Z21" s="33">
        <v>1.6</v>
      </c>
      <c r="AA21" s="32">
        <v>0.92700000000000005</v>
      </c>
      <c r="AB21" s="32">
        <v>1.696</v>
      </c>
      <c r="AC21" s="32">
        <v>213.6</v>
      </c>
      <c r="AD21" s="33">
        <v>63.606999999999999</v>
      </c>
      <c r="AE21" s="32">
        <v>17</v>
      </c>
      <c r="AF21" s="32">
        <v>18.12</v>
      </c>
      <c r="AG21" s="33">
        <v>44.192999999999998</v>
      </c>
      <c r="AH21" s="44"/>
      <c r="AI21" s="38">
        <f>HLOOKUP('Diagramm Einzelkultur'!$B$67,$A$1:$AG$77,21,FALSE)</f>
        <v>1878.213</v>
      </c>
    </row>
    <row r="22" spans="1:35">
      <c r="A22" s="30">
        <f t="shared" si="0"/>
        <v>21</v>
      </c>
      <c r="B22" s="31">
        <v>1967</v>
      </c>
      <c r="C22" s="31"/>
      <c r="D22" s="32">
        <v>1872.9760000000001</v>
      </c>
      <c r="E22" s="32">
        <v>793.97699999999998</v>
      </c>
      <c r="F22" s="33">
        <v>691.1</v>
      </c>
      <c r="G22" s="33">
        <v>83.8</v>
      </c>
      <c r="H22" s="32">
        <v>19.835000000000001</v>
      </c>
      <c r="I22" s="32">
        <v>24.655999999999999</v>
      </c>
      <c r="J22" s="33">
        <v>1.3</v>
      </c>
      <c r="K22" s="32">
        <v>988.5</v>
      </c>
      <c r="L22" s="32">
        <v>572</v>
      </c>
      <c r="M22" s="32">
        <v>241.8</v>
      </c>
      <c r="N22" s="32">
        <v>152.80000000000001</v>
      </c>
      <c r="O22" s="33">
        <v>18.600000000000001</v>
      </c>
      <c r="P22" s="32">
        <v>8.0299999999999994</v>
      </c>
      <c r="Q22" s="32">
        <v>164.1</v>
      </c>
      <c r="R22" s="32">
        <v>97</v>
      </c>
      <c r="S22" s="33">
        <v>17.7</v>
      </c>
      <c r="T22" s="32">
        <v>15.2</v>
      </c>
      <c r="U22" s="33">
        <v>9.3889999999999993</v>
      </c>
      <c r="V22" s="33">
        <v>1.141</v>
      </c>
      <c r="W22" s="33">
        <v>0.54800000000000004</v>
      </c>
      <c r="X22" s="32">
        <v>7.7439999999999998</v>
      </c>
      <c r="Y22" s="33">
        <v>1.7589999999999999</v>
      </c>
      <c r="Z22" s="33">
        <v>1.7</v>
      </c>
      <c r="AA22" s="32">
        <v>0.97499999999999998</v>
      </c>
      <c r="AB22" s="32">
        <v>1.728</v>
      </c>
      <c r="AC22" s="32">
        <v>204</v>
      </c>
      <c r="AD22" s="33">
        <v>62.978000000000002</v>
      </c>
      <c r="AE22" s="32">
        <v>18.600000000000001</v>
      </c>
      <c r="AF22" s="32">
        <v>17.434000000000001</v>
      </c>
      <c r="AG22" s="33">
        <v>44.6</v>
      </c>
      <c r="AH22" s="44"/>
      <c r="AI22" s="38">
        <f>HLOOKUP('Diagramm Einzelkultur'!$B$67,$A$1:$AG$77,22,FALSE)</f>
        <v>1872.9760000000001</v>
      </c>
    </row>
    <row r="23" spans="1:35">
      <c r="A23" s="30">
        <f t="shared" si="0"/>
        <v>22</v>
      </c>
      <c r="B23" s="31">
        <v>1968</v>
      </c>
      <c r="C23" s="31"/>
      <c r="D23" s="32">
        <v>1861.3050000000001</v>
      </c>
      <c r="E23" s="32">
        <v>800.26400000000001</v>
      </c>
      <c r="F23" s="33">
        <v>691.8</v>
      </c>
      <c r="G23" s="33">
        <v>83.7</v>
      </c>
      <c r="H23" s="32">
        <v>19.722000000000001</v>
      </c>
      <c r="I23" s="32">
        <v>25.228999999999999</v>
      </c>
      <c r="J23" s="33">
        <v>1.3</v>
      </c>
      <c r="K23" s="32">
        <v>974.5</v>
      </c>
      <c r="L23" s="32">
        <v>589.20000000000005</v>
      </c>
      <c r="M23" s="32">
        <v>253.6</v>
      </c>
      <c r="N23" s="32">
        <v>152.6</v>
      </c>
      <c r="O23" s="33">
        <v>21.9</v>
      </c>
      <c r="P23" s="32">
        <v>8.7569999999999997</v>
      </c>
      <c r="Q23" s="32">
        <v>150.5</v>
      </c>
      <c r="R23" s="32">
        <v>84.5</v>
      </c>
      <c r="S23" s="33">
        <v>18.3</v>
      </c>
      <c r="T23" s="32">
        <v>14.2</v>
      </c>
      <c r="U23" s="33">
        <v>9.3469999999999995</v>
      </c>
      <c r="V23" s="33">
        <v>0.94799999999999995</v>
      </c>
      <c r="W23" s="33">
        <v>0.45700000000000002</v>
      </c>
      <c r="X23" s="32">
        <v>6.6980000000000004</v>
      </c>
      <c r="Y23" s="94">
        <v>1.708</v>
      </c>
      <c r="Z23" s="33">
        <v>1.7</v>
      </c>
      <c r="AA23" s="32">
        <v>0.97599999999999998</v>
      </c>
      <c r="AB23" s="32">
        <v>1.716</v>
      </c>
      <c r="AC23" s="32">
        <v>185</v>
      </c>
      <c r="AD23" s="33">
        <v>59.610999999999997</v>
      </c>
      <c r="AE23" s="32">
        <v>17.7</v>
      </c>
      <c r="AF23" s="32">
        <v>20.263000000000002</v>
      </c>
      <c r="AG23" s="33">
        <v>40.213999999999999</v>
      </c>
      <c r="AH23" s="44"/>
      <c r="AI23" s="38">
        <f>HLOOKUP('Diagramm Einzelkultur'!$B$67,$A$1:$AG$77,23,FALSE)</f>
        <v>1861.3050000000001</v>
      </c>
    </row>
    <row r="24" spans="1:35" ht="13.5" thickBot="1">
      <c r="A24" s="65">
        <f t="shared" si="0"/>
        <v>23</v>
      </c>
      <c r="B24" s="66">
        <v>1969</v>
      </c>
      <c r="C24" s="66"/>
      <c r="D24" s="67">
        <v>1852.6</v>
      </c>
      <c r="E24" s="67">
        <v>795.6</v>
      </c>
      <c r="F24" s="68">
        <v>685.3</v>
      </c>
      <c r="G24" s="68">
        <v>82.9</v>
      </c>
      <c r="H24" s="67">
        <v>19.969000000000001</v>
      </c>
      <c r="I24" s="67">
        <v>25.695</v>
      </c>
      <c r="J24" s="68">
        <v>1.4</v>
      </c>
      <c r="K24" s="67">
        <v>969.6</v>
      </c>
      <c r="L24" s="67">
        <v>596.1</v>
      </c>
      <c r="M24" s="67">
        <v>249.6</v>
      </c>
      <c r="N24" s="67">
        <v>156.69999999999999</v>
      </c>
      <c r="O24" s="68">
        <v>28.1</v>
      </c>
      <c r="P24" s="67">
        <v>8.02</v>
      </c>
      <c r="Q24" s="67">
        <v>142.9</v>
      </c>
      <c r="R24" s="67">
        <v>77.400000000000006</v>
      </c>
      <c r="S24" s="67">
        <v>19.100000000000001</v>
      </c>
      <c r="T24" s="67">
        <v>13.8</v>
      </c>
      <c r="U24" s="68">
        <v>8.1289999999999996</v>
      </c>
      <c r="V24" s="68">
        <v>0.91800000000000004</v>
      </c>
      <c r="W24" s="68">
        <v>0.625</v>
      </c>
      <c r="X24" s="67">
        <v>6.3440000000000003</v>
      </c>
      <c r="Y24" s="68">
        <v>2.351</v>
      </c>
      <c r="Z24" s="68">
        <v>1.7</v>
      </c>
      <c r="AA24" s="67">
        <v>0.95899999999999996</v>
      </c>
      <c r="AB24" s="67">
        <v>1.6080000000000001</v>
      </c>
      <c r="AC24" s="67">
        <v>182.3</v>
      </c>
      <c r="AD24" s="68">
        <v>57.116999999999997</v>
      </c>
      <c r="AE24" s="67">
        <v>22.4</v>
      </c>
      <c r="AF24" s="67">
        <v>20.103999999999999</v>
      </c>
      <c r="AG24" s="68">
        <v>40.200000000000003</v>
      </c>
      <c r="AH24" s="44"/>
      <c r="AI24" s="38">
        <f>HLOOKUP('Diagramm Einzelkultur'!$B$67,$A$1:$AG$77,24,FALSE)</f>
        <v>1852.6</v>
      </c>
    </row>
    <row r="25" spans="1:35">
      <c r="A25" s="61">
        <f t="shared" si="0"/>
        <v>24</v>
      </c>
      <c r="B25" s="62">
        <v>1970</v>
      </c>
      <c r="C25" s="62"/>
      <c r="D25" s="63">
        <v>1811.5</v>
      </c>
      <c r="E25" s="63">
        <v>774.5</v>
      </c>
      <c r="F25" s="64">
        <v>654.5</v>
      </c>
      <c r="G25" s="64">
        <v>96.7</v>
      </c>
      <c r="H25" s="63">
        <v>20.399999999999999</v>
      </c>
      <c r="I25" s="63">
        <v>25.9</v>
      </c>
      <c r="J25" s="64">
        <v>1.4</v>
      </c>
      <c r="K25" s="63">
        <v>955.2</v>
      </c>
      <c r="L25" s="63">
        <v>602.5</v>
      </c>
      <c r="M25" s="63">
        <v>250.3</v>
      </c>
      <c r="N25" s="63">
        <v>160</v>
      </c>
      <c r="O25" s="64">
        <v>30.7</v>
      </c>
      <c r="P25" s="63">
        <v>7.5</v>
      </c>
      <c r="Q25" s="63">
        <v>138.9</v>
      </c>
      <c r="R25" s="63">
        <v>75.2</v>
      </c>
      <c r="S25" s="63">
        <v>19.8</v>
      </c>
      <c r="T25" s="63">
        <v>14</v>
      </c>
      <c r="U25" s="64">
        <v>8.3309999999999995</v>
      </c>
      <c r="V25" s="64">
        <v>0.85499999999999998</v>
      </c>
      <c r="W25" s="64">
        <v>0.74199999999999999</v>
      </c>
      <c r="X25" s="63">
        <v>7</v>
      </c>
      <c r="Y25" s="64">
        <v>3.5089999999999999</v>
      </c>
      <c r="Z25" s="64">
        <v>2.4</v>
      </c>
      <c r="AA25" s="63">
        <v>0.95899999999999996</v>
      </c>
      <c r="AB25" s="63">
        <v>1.589</v>
      </c>
      <c r="AC25" s="63">
        <v>182.2</v>
      </c>
      <c r="AD25" s="64">
        <f>AC25-59.6-26.4-29.4</f>
        <v>66.799999999999983</v>
      </c>
      <c r="AE25" s="63">
        <v>29.4</v>
      </c>
      <c r="AF25" s="63">
        <v>3.2410000000000001</v>
      </c>
      <c r="AG25" s="64">
        <v>33.9</v>
      </c>
      <c r="AH25" s="44"/>
      <c r="AI25" s="38">
        <f>HLOOKUP('Diagramm Einzelkultur'!$B$67,$A$1:$AG$77,25,FALSE)</f>
        <v>1811.5</v>
      </c>
    </row>
    <row r="26" spans="1:35">
      <c r="A26" s="47">
        <f t="shared" si="0"/>
        <v>25</v>
      </c>
      <c r="B26" s="48">
        <v>1971</v>
      </c>
      <c r="C26" s="48"/>
      <c r="D26" s="33">
        <v>1762.9</v>
      </c>
      <c r="E26" s="33">
        <v>746.4</v>
      </c>
      <c r="F26" s="33">
        <f>606.266+62.368</f>
        <v>668.63400000000001</v>
      </c>
      <c r="G26" s="33">
        <f>60.192+17.532</f>
        <v>77.724000000000004</v>
      </c>
      <c r="H26" s="33">
        <v>22.6</v>
      </c>
      <c r="I26" s="33">
        <v>25.9</v>
      </c>
      <c r="J26" s="33">
        <v>1.7</v>
      </c>
      <c r="K26" s="33">
        <v>933.1</v>
      </c>
      <c r="L26" s="33">
        <v>602.5</v>
      </c>
      <c r="M26" s="33">
        <v>253.6</v>
      </c>
      <c r="N26" s="33">
        <v>157.5</v>
      </c>
      <c r="O26" s="33">
        <v>33.299999999999997</v>
      </c>
      <c r="P26" s="33">
        <v>7.3</v>
      </c>
      <c r="Q26" s="33">
        <v>127.8</v>
      </c>
      <c r="R26" s="33">
        <v>67.8</v>
      </c>
      <c r="S26" s="33">
        <v>19.899999999999999</v>
      </c>
      <c r="T26" s="33">
        <v>13.7</v>
      </c>
      <c r="U26" s="33">
        <v>9.0739999999999998</v>
      </c>
      <c r="V26" s="33">
        <v>0.79100000000000004</v>
      </c>
      <c r="W26" s="33">
        <v>0.80500000000000005</v>
      </c>
      <c r="X26" s="33">
        <v>8.4</v>
      </c>
      <c r="Y26" s="33">
        <v>4.3259999999999996</v>
      </c>
      <c r="Z26" s="33">
        <v>3.5</v>
      </c>
      <c r="AA26" s="33">
        <v>1.022</v>
      </c>
      <c r="AB26" s="33">
        <v>1.798</v>
      </c>
      <c r="AC26" s="33">
        <v>170</v>
      </c>
      <c r="AD26" s="33">
        <f>AC26-54.9-26.1-38.7</f>
        <v>50.3</v>
      </c>
      <c r="AE26" s="33">
        <v>38.700000000000003</v>
      </c>
      <c r="AF26" s="33">
        <v>2.2309999999999999</v>
      </c>
      <c r="AG26" s="33">
        <v>32.9</v>
      </c>
      <c r="AH26" s="44"/>
      <c r="AI26" s="38">
        <f>HLOOKUP('Diagramm Einzelkultur'!$B$67,$A$1:$AG$77,26,FALSE)</f>
        <v>1762.9</v>
      </c>
    </row>
    <row r="27" spans="1:35">
      <c r="A27" s="30">
        <f t="shared" si="0"/>
        <v>26</v>
      </c>
      <c r="B27" s="31">
        <v>1972</v>
      </c>
      <c r="C27" s="31"/>
      <c r="D27" s="32">
        <v>1761.1</v>
      </c>
      <c r="E27" s="32">
        <v>747.2</v>
      </c>
      <c r="F27" s="33">
        <v>615.70000000000005</v>
      </c>
      <c r="G27" s="33">
        <v>113.4</v>
      </c>
      <c r="H27" s="32">
        <v>22.7</v>
      </c>
      <c r="I27" s="32">
        <v>25</v>
      </c>
      <c r="J27" s="33">
        <v>1.7</v>
      </c>
      <c r="K27" s="32">
        <v>931.3</v>
      </c>
      <c r="L27" s="32">
        <v>604.70000000000005</v>
      </c>
      <c r="M27" s="32">
        <v>253.2</v>
      </c>
      <c r="N27" s="32">
        <v>163.30000000000001</v>
      </c>
      <c r="O27" s="33">
        <v>31.9</v>
      </c>
      <c r="P27" s="32">
        <v>5.9</v>
      </c>
      <c r="Q27" s="32">
        <v>119.6</v>
      </c>
      <c r="R27" s="32">
        <v>60.8</v>
      </c>
      <c r="S27" s="32">
        <v>20.7</v>
      </c>
      <c r="T27" s="32">
        <v>13</v>
      </c>
      <c r="U27" s="33">
        <v>8.68</v>
      </c>
      <c r="V27" s="33">
        <v>0.83099999999999996</v>
      </c>
      <c r="W27" s="33">
        <v>0.79200000000000004</v>
      </c>
      <c r="X27" s="32">
        <v>9.4</v>
      </c>
      <c r="Y27" s="33">
        <v>4.8040000000000003</v>
      </c>
      <c r="Z27" s="33">
        <v>4.3</v>
      </c>
      <c r="AA27" s="32">
        <v>1.0509999999999999</v>
      </c>
      <c r="AB27" s="32">
        <v>1.92</v>
      </c>
      <c r="AC27" s="32">
        <v>173.3</v>
      </c>
      <c r="AD27" s="33">
        <f>AC27-54-25.5-44.8</f>
        <v>49.000000000000014</v>
      </c>
      <c r="AE27" s="32">
        <v>44.8</v>
      </c>
      <c r="AF27" s="32">
        <v>5.4690000000000003</v>
      </c>
      <c r="AG27" s="33">
        <v>32.9</v>
      </c>
      <c r="AH27" s="44"/>
      <c r="AI27" s="38">
        <f>HLOOKUP('Diagramm Einzelkultur'!$B$67,$A$1:$AG$77,27,FALSE)</f>
        <v>1761.1</v>
      </c>
    </row>
    <row r="28" spans="1:35">
      <c r="A28" s="30">
        <f t="shared" si="0"/>
        <v>27</v>
      </c>
      <c r="B28" s="31">
        <v>1973</v>
      </c>
      <c r="C28" s="31"/>
      <c r="D28" s="32">
        <v>1752.4580000000001</v>
      </c>
      <c r="E28" s="34">
        <v>743.9</v>
      </c>
      <c r="F28" s="35">
        <v>615.1</v>
      </c>
      <c r="G28" s="35">
        <v>110.4</v>
      </c>
      <c r="H28" s="34">
        <v>23.6</v>
      </c>
      <c r="I28" s="34">
        <v>24.7</v>
      </c>
      <c r="J28" s="35">
        <v>1.7</v>
      </c>
      <c r="K28" s="32">
        <v>926</v>
      </c>
      <c r="L28" s="32">
        <v>606.20000000000005</v>
      </c>
      <c r="M28" s="32">
        <v>245.1</v>
      </c>
      <c r="N28" s="32">
        <v>172.3</v>
      </c>
      <c r="O28" s="33">
        <v>29.3</v>
      </c>
      <c r="P28" s="32">
        <v>6.7</v>
      </c>
      <c r="Q28" s="32">
        <v>115.5</v>
      </c>
      <c r="R28" s="32">
        <v>58.5</v>
      </c>
      <c r="S28" s="32">
        <v>21.4</v>
      </c>
      <c r="T28" s="32">
        <v>13.5</v>
      </c>
      <c r="U28" s="33">
        <v>8.8529999999999998</v>
      </c>
      <c r="V28" s="33">
        <v>0.81699999999999995</v>
      </c>
      <c r="W28" s="33">
        <v>0.755</v>
      </c>
      <c r="X28" s="32">
        <v>10.199999999999999</v>
      </c>
      <c r="Y28" s="33">
        <v>5.3040000000000003</v>
      </c>
      <c r="Z28" s="33">
        <v>4.8</v>
      </c>
      <c r="AA28" s="32">
        <v>1.2490000000000001</v>
      </c>
      <c r="AB28" s="32">
        <v>1.877</v>
      </c>
      <c r="AC28" s="32">
        <v>169.4</v>
      </c>
      <c r="AD28" s="33">
        <f>AC28-50.9-23.4-51.7</f>
        <v>43.399999999999991</v>
      </c>
      <c r="AE28" s="32">
        <v>51.7</v>
      </c>
      <c r="AF28" s="33">
        <v>4.5869999999999997</v>
      </c>
      <c r="AG28" s="35">
        <v>32.299999999999997</v>
      </c>
      <c r="AH28" s="44"/>
      <c r="AI28" s="38">
        <f>HLOOKUP('Diagramm Einzelkultur'!$B$67,$A$1:$AG$77,28,FALSE)</f>
        <v>1752.4580000000001</v>
      </c>
    </row>
    <row r="29" spans="1:35">
      <c r="A29" s="30">
        <f t="shared" si="0"/>
        <v>28</v>
      </c>
      <c r="B29" s="31">
        <v>1974</v>
      </c>
      <c r="C29" s="31"/>
      <c r="D29" s="32">
        <v>1739.7049999999999</v>
      </c>
      <c r="E29" s="34">
        <v>732.7</v>
      </c>
      <c r="F29" s="35">
        <v>600.5</v>
      </c>
      <c r="G29" s="35">
        <v>114.1</v>
      </c>
      <c r="H29" s="32">
        <v>24.3</v>
      </c>
      <c r="I29" s="32">
        <v>25.2</v>
      </c>
      <c r="J29" s="33">
        <v>1.9</v>
      </c>
      <c r="K29" s="32">
        <v>923.4</v>
      </c>
      <c r="L29" s="32">
        <v>609.1</v>
      </c>
      <c r="M29" s="32">
        <v>254.5</v>
      </c>
      <c r="N29" s="32">
        <v>165.7</v>
      </c>
      <c r="O29" s="33">
        <v>29.7</v>
      </c>
      <c r="P29" s="32">
        <v>9.1</v>
      </c>
      <c r="Q29" s="32">
        <v>110.3</v>
      </c>
      <c r="R29" s="32">
        <v>55.4</v>
      </c>
      <c r="S29" s="32">
        <v>22</v>
      </c>
      <c r="T29" s="32">
        <v>13.1</v>
      </c>
      <c r="U29" s="33">
        <v>8.8369999999999997</v>
      </c>
      <c r="V29" s="33">
        <v>0.73099999999999998</v>
      </c>
      <c r="W29" s="33">
        <v>0.88400000000000001</v>
      </c>
      <c r="X29" s="32">
        <v>10.8</v>
      </c>
      <c r="Y29" s="33">
        <v>7.9119999999999999</v>
      </c>
      <c r="Z29" s="33">
        <v>5.3</v>
      </c>
      <c r="AA29" s="32">
        <v>1.1870000000000001</v>
      </c>
      <c r="AB29" s="32">
        <v>1.901</v>
      </c>
      <c r="AC29" s="32">
        <v>166.3</v>
      </c>
      <c r="AD29" s="33">
        <f>AC29-52.4-21.1-55.4</f>
        <v>37.400000000000013</v>
      </c>
      <c r="AE29" s="32">
        <v>55.4</v>
      </c>
      <c r="AF29" s="32">
        <v>4.7750000000000004</v>
      </c>
      <c r="AG29" s="33">
        <v>31.9</v>
      </c>
      <c r="AH29" s="44"/>
      <c r="AI29" s="38">
        <f>HLOOKUP('Diagramm Einzelkultur'!$B$67,$A$1:$AG$77,29,FALSE)</f>
        <v>1739.7049999999999</v>
      </c>
    </row>
    <row r="30" spans="1:35">
      <c r="A30" s="30">
        <f t="shared" si="0"/>
        <v>29</v>
      </c>
      <c r="B30" s="31">
        <v>1975</v>
      </c>
      <c r="C30" s="31"/>
      <c r="D30" s="32">
        <v>1735.3030000000001</v>
      </c>
      <c r="E30" s="32">
        <v>728.8</v>
      </c>
      <c r="F30" s="33">
        <v>597.29999999999995</v>
      </c>
      <c r="G30" s="33">
        <v>113.1</v>
      </c>
      <c r="H30" s="34">
        <v>24.7</v>
      </c>
      <c r="I30" s="32">
        <v>25.4</v>
      </c>
      <c r="J30" s="33">
        <v>1.8</v>
      </c>
      <c r="K30" s="32">
        <v>922.3</v>
      </c>
      <c r="L30" s="32">
        <v>612.4</v>
      </c>
      <c r="M30" s="32">
        <v>241</v>
      </c>
      <c r="N30" s="32">
        <v>177.4</v>
      </c>
      <c r="O30" s="33">
        <v>26.2</v>
      </c>
      <c r="P30" s="32">
        <v>8.9</v>
      </c>
      <c r="Q30" s="32">
        <v>107.3</v>
      </c>
      <c r="R30" s="32">
        <v>50.6</v>
      </c>
      <c r="S30" s="32">
        <v>25.1</v>
      </c>
      <c r="T30" s="32">
        <v>13.4</v>
      </c>
      <c r="U30" s="33">
        <v>8.6630000000000003</v>
      </c>
      <c r="V30" s="33">
        <v>0.626</v>
      </c>
      <c r="W30" s="33">
        <v>0.91400000000000003</v>
      </c>
      <c r="X30" s="32">
        <v>13.5</v>
      </c>
      <c r="Y30" s="33">
        <v>8.484</v>
      </c>
      <c r="Z30" s="33">
        <v>7.9</v>
      </c>
      <c r="AA30" s="32">
        <v>1.1499999999999999</v>
      </c>
      <c r="AB30" s="32">
        <v>1.8280000000000001</v>
      </c>
      <c r="AC30" s="32">
        <v>162.19999999999999</v>
      </c>
      <c r="AD30" s="32">
        <v>25.864999999999998</v>
      </c>
      <c r="AE30" s="32">
        <v>64.099999999999994</v>
      </c>
      <c r="AF30" s="32">
        <v>4.548</v>
      </c>
      <c r="AG30" s="33">
        <v>32</v>
      </c>
      <c r="AH30" s="44"/>
      <c r="AI30" s="38">
        <f>HLOOKUP('Diagramm Einzelkultur'!$B$67,$A$1:$AG$77,30,FALSE)</f>
        <v>1735.3030000000001</v>
      </c>
    </row>
    <row r="31" spans="1:35">
      <c r="A31" s="30">
        <f t="shared" si="0"/>
        <v>30</v>
      </c>
      <c r="B31" s="31">
        <v>1976</v>
      </c>
      <c r="C31" s="31"/>
      <c r="D31" s="32">
        <v>1730.501</v>
      </c>
      <c r="E31" s="32">
        <v>727.101</v>
      </c>
      <c r="F31" s="33">
        <v>595.79999999999995</v>
      </c>
      <c r="G31" s="33">
        <v>113.3</v>
      </c>
      <c r="H31" s="32">
        <v>24.9</v>
      </c>
      <c r="I31" s="32">
        <v>25.111999999999998</v>
      </c>
      <c r="J31" s="33">
        <v>1.8</v>
      </c>
      <c r="K31" s="32">
        <v>919.3</v>
      </c>
      <c r="L31" s="32">
        <v>606.70000000000005</v>
      </c>
      <c r="M31" s="32">
        <v>248.7</v>
      </c>
      <c r="N31" s="32">
        <v>168</v>
      </c>
      <c r="O31" s="33">
        <v>27.3</v>
      </c>
      <c r="P31" s="32">
        <v>7.4</v>
      </c>
      <c r="Q31" s="32">
        <v>105.5</v>
      </c>
      <c r="R31" s="32">
        <v>49.6</v>
      </c>
      <c r="S31" s="32">
        <v>25.3</v>
      </c>
      <c r="T31" s="32">
        <v>12.7</v>
      </c>
      <c r="U31" s="33">
        <v>7.9409999999999998</v>
      </c>
      <c r="V31" s="33">
        <v>0.60899999999999999</v>
      </c>
      <c r="W31" s="33">
        <v>0.95399999999999996</v>
      </c>
      <c r="X31" s="32">
        <v>13.8</v>
      </c>
      <c r="Y31" s="33">
        <v>8.5890000000000004</v>
      </c>
      <c r="Z31" s="33">
        <v>8.5</v>
      </c>
      <c r="AA31" s="32">
        <v>1.081</v>
      </c>
      <c r="AB31" s="32">
        <v>1.843</v>
      </c>
      <c r="AC31" s="32">
        <v>168.7</v>
      </c>
      <c r="AD31" s="32">
        <v>28.167000000000002</v>
      </c>
      <c r="AE31" s="32">
        <v>67.599999999999994</v>
      </c>
      <c r="AF31" s="94">
        <v>4.6219999999999999</v>
      </c>
      <c r="AG31" s="33">
        <v>32</v>
      </c>
      <c r="AH31" s="44"/>
      <c r="AI31" s="38">
        <f>HLOOKUP('Diagramm Einzelkultur'!$B$67,$A$1:$AG$77,31,FALSE)</f>
        <v>1730.501</v>
      </c>
    </row>
    <row r="32" spans="1:35">
      <c r="A32" s="30">
        <f t="shared" si="0"/>
        <v>31</v>
      </c>
      <c r="B32" s="31">
        <v>1977</v>
      </c>
      <c r="C32" s="31"/>
      <c r="D32" s="32">
        <v>1717.2439999999999</v>
      </c>
      <c r="E32" s="32">
        <v>721.43</v>
      </c>
      <c r="F32" s="33">
        <v>584.70000000000005</v>
      </c>
      <c r="G32" s="33">
        <v>117.9</v>
      </c>
      <c r="H32" s="32">
        <v>25.469000000000001</v>
      </c>
      <c r="I32" s="32">
        <v>24.9</v>
      </c>
      <c r="J32" s="33">
        <v>2.2999999999999998</v>
      </c>
      <c r="K32" s="32">
        <v>910.471</v>
      </c>
      <c r="L32" s="32">
        <v>612.12300000000005</v>
      </c>
      <c r="M32" s="32">
        <v>246</v>
      </c>
      <c r="N32" s="32">
        <v>178.1</v>
      </c>
      <c r="O32" s="33">
        <v>28.1</v>
      </c>
      <c r="P32" s="32">
        <v>4.7</v>
      </c>
      <c r="Q32" s="32">
        <v>98.2</v>
      </c>
      <c r="R32" s="32">
        <v>45.2</v>
      </c>
      <c r="S32" s="32">
        <v>23.9</v>
      </c>
      <c r="T32" s="32">
        <v>12.6</v>
      </c>
      <c r="U32" s="33">
        <v>8.0830000000000002</v>
      </c>
      <c r="V32" s="33">
        <v>0.68200000000000005</v>
      </c>
      <c r="W32" s="33">
        <v>0.98399999999999999</v>
      </c>
      <c r="X32" s="32">
        <v>13.4</v>
      </c>
      <c r="Y32" s="33">
        <v>10.131</v>
      </c>
      <c r="Z32" s="33">
        <v>8.6</v>
      </c>
      <c r="AA32" s="32">
        <v>1.075</v>
      </c>
      <c r="AB32" s="32">
        <v>1.7569999999999999</v>
      </c>
      <c r="AC32" s="32">
        <v>163.55199999999999</v>
      </c>
      <c r="AD32" s="33">
        <v>20.65</v>
      </c>
      <c r="AE32" s="32">
        <v>74.2</v>
      </c>
      <c r="AF32" s="32">
        <v>5.875</v>
      </c>
      <c r="AG32" s="33">
        <v>32.4</v>
      </c>
      <c r="AH32" s="44"/>
      <c r="AI32" s="38">
        <f>HLOOKUP('Diagramm Einzelkultur'!$B$67,$A$1:$AG$77,32,FALSE)</f>
        <v>1717.2439999999999</v>
      </c>
    </row>
    <row r="33" spans="1:35">
      <c r="A33" s="50">
        <f t="shared" si="0"/>
        <v>32</v>
      </c>
      <c r="B33" s="51">
        <v>1978</v>
      </c>
      <c r="C33" s="51"/>
      <c r="D33" s="52">
        <v>1716.2070000000001</v>
      </c>
      <c r="E33" s="52">
        <v>720.8</v>
      </c>
      <c r="F33" s="53">
        <v>582.29999999999995</v>
      </c>
      <c r="G33" s="53">
        <v>118.1</v>
      </c>
      <c r="H33" s="52">
        <v>25.7</v>
      </c>
      <c r="I33" s="52">
        <v>24.5</v>
      </c>
      <c r="J33" s="53">
        <v>2.2999999999999998</v>
      </c>
      <c r="K33" s="52">
        <v>909.6</v>
      </c>
      <c r="L33" s="52">
        <v>615.5</v>
      </c>
      <c r="M33" s="52">
        <v>235.5</v>
      </c>
      <c r="N33" s="52">
        <v>188.2</v>
      </c>
      <c r="O33" s="53">
        <v>31.3</v>
      </c>
      <c r="P33" s="52">
        <v>5</v>
      </c>
      <c r="Q33" s="52">
        <v>89.9</v>
      </c>
      <c r="R33" s="52">
        <v>40.299999999999997</v>
      </c>
      <c r="S33" s="52">
        <v>22.7</v>
      </c>
      <c r="T33" s="52">
        <v>12</v>
      </c>
      <c r="U33" s="33">
        <v>7.6040000000000001</v>
      </c>
      <c r="V33" s="33">
        <v>0.51900000000000002</v>
      </c>
      <c r="W33" s="33">
        <v>1.02</v>
      </c>
      <c r="X33" s="52">
        <v>14.9</v>
      </c>
      <c r="Y33" s="33">
        <v>11.4</v>
      </c>
      <c r="Z33" s="53">
        <v>10.1</v>
      </c>
      <c r="AA33" s="52">
        <v>0.98199999999999998</v>
      </c>
      <c r="AB33" s="52">
        <v>1.653</v>
      </c>
      <c r="AC33" s="52">
        <v>166.9</v>
      </c>
      <c r="AD33" s="53">
        <v>21.745999999999999</v>
      </c>
      <c r="AE33" s="52">
        <v>80.599999999999994</v>
      </c>
      <c r="AF33" s="52">
        <v>5.4630000000000001</v>
      </c>
      <c r="AG33" s="53">
        <v>33</v>
      </c>
      <c r="AH33" s="44"/>
      <c r="AI33" s="38">
        <f>HLOOKUP('Diagramm Einzelkultur'!$B$67,$A$1:$AG$77,33,FALSE)</f>
        <v>1716.2070000000001</v>
      </c>
    </row>
    <row r="34" spans="1:35" ht="13.5" thickBot="1">
      <c r="A34" s="77">
        <f t="shared" ref="A34:A65" si="1">A33+1</f>
        <v>33</v>
      </c>
      <c r="B34" s="72">
        <v>1979</v>
      </c>
      <c r="C34" s="72"/>
      <c r="D34" s="73">
        <v>1548</v>
      </c>
      <c r="E34" s="73">
        <v>711.67100000000005</v>
      </c>
      <c r="F34" s="73">
        <v>525.6</v>
      </c>
      <c r="G34" s="73">
        <v>112.6</v>
      </c>
      <c r="H34" s="73">
        <v>22.9</v>
      </c>
      <c r="I34" s="73">
        <v>18.5</v>
      </c>
      <c r="J34" s="73">
        <v>2.4</v>
      </c>
      <c r="K34" s="68">
        <v>849.6</v>
      </c>
      <c r="L34" s="68">
        <v>591</v>
      </c>
      <c r="M34" s="68">
        <v>223.4</v>
      </c>
      <c r="N34" s="68">
        <v>188.9</v>
      </c>
      <c r="O34" s="68">
        <v>28.9</v>
      </c>
      <c r="P34" s="68">
        <v>4.5</v>
      </c>
      <c r="Q34" s="68">
        <v>86.2</v>
      </c>
      <c r="R34" s="68">
        <v>37.9</v>
      </c>
      <c r="S34" s="68">
        <v>22.7</v>
      </c>
      <c r="T34" s="68">
        <v>12.4</v>
      </c>
      <c r="U34" s="68">
        <v>7.452</v>
      </c>
      <c r="V34" s="68">
        <v>0.45600000000000002</v>
      </c>
      <c r="W34" s="68">
        <v>1.0249999999999999</v>
      </c>
      <c r="X34" s="68">
        <v>15.7</v>
      </c>
      <c r="Y34" s="68">
        <v>16.399999999999999</v>
      </c>
      <c r="Z34" s="68">
        <v>11.4</v>
      </c>
      <c r="AA34" s="68">
        <v>0.94099999999999995</v>
      </c>
      <c r="AB34" s="68">
        <v>1.323</v>
      </c>
      <c r="AC34" s="68">
        <v>154.1</v>
      </c>
      <c r="AD34" s="68">
        <v>13.585000000000001</v>
      </c>
      <c r="AE34" s="68">
        <v>82.7</v>
      </c>
      <c r="AF34" s="68">
        <v>3.1</v>
      </c>
      <c r="AG34" s="73">
        <v>33.700000000000003</v>
      </c>
      <c r="AH34" s="44"/>
      <c r="AI34" s="39">
        <f>HLOOKUP('Diagramm Einzelkultur'!$B$67,$A$1:$AG$77,34,FALSE)</f>
        <v>1548</v>
      </c>
    </row>
    <row r="35" spans="1:35">
      <c r="A35" s="74">
        <f t="shared" si="1"/>
        <v>34</v>
      </c>
      <c r="B35" s="69">
        <v>1980</v>
      </c>
      <c r="C35" s="69"/>
      <c r="D35" s="70">
        <v>1545.1</v>
      </c>
      <c r="E35" s="70">
        <v>708.1</v>
      </c>
      <c r="F35" s="70">
        <v>521.20000000000005</v>
      </c>
      <c r="G35" s="70">
        <v>111.5</v>
      </c>
      <c r="H35" s="70">
        <v>23.2</v>
      </c>
      <c r="I35" s="70">
        <v>18.399999999999999</v>
      </c>
      <c r="J35" s="70">
        <v>2.6</v>
      </c>
      <c r="K35" s="64">
        <v>848.2</v>
      </c>
      <c r="L35" s="64">
        <v>597</v>
      </c>
      <c r="M35" s="64">
        <v>230</v>
      </c>
      <c r="N35" s="64">
        <v>195.1</v>
      </c>
      <c r="O35" s="64">
        <v>28.5</v>
      </c>
      <c r="P35" s="64">
        <v>3.9</v>
      </c>
      <c r="Q35" s="64">
        <v>80.7</v>
      </c>
      <c r="R35" s="64">
        <v>34.5</v>
      </c>
      <c r="S35" s="64">
        <v>22.9</v>
      </c>
      <c r="T35" s="70">
        <v>11.6</v>
      </c>
      <c r="U35" s="64">
        <v>6.875</v>
      </c>
      <c r="V35" s="64">
        <v>0.47599999999999998</v>
      </c>
      <c r="W35" s="64">
        <v>1.0740000000000001</v>
      </c>
      <c r="X35" s="64">
        <v>21.1</v>
      </c>
      <c r="Y35" s="64">
        <v>19.899999999999999</v>
      </c>
      <c r="Z35" s="64">
        <v>16.399999999999999</v>
      </c>
      <c r="AA35" s="64">
        <v>1.161</v>
      </c>
      <c r="AB35" s="64">
        <v>1</v>
      </c>
      <c r="AC35" s="64">
        <v>148.80000000000001</v>
      </c>
      <c r="AD35" s="64">
        <v>11.835000000000001</v>
      </c>
      <c r="AE35" s="64">
        <v>83.7</v>
      </c>
      <c r="AF35" s="64">
        <v>2.6</v>
      </c>
      <c r="AG35" s="70">
        <v>33.799999999999997</v>
      </c>
      <c r="AH35" s="44"/>
      <c r="AI35" s="38">
        <f>HLOOKUP('Diagramm Einzelkultur'!$B$67,$A$1:$AG$77,35,FALSE)</f>
        <v>1545.1</v>
      </c>
    </row>
    <row r="36" spans="1:35">
      <c r="A36" s="47">
        <f t="shared" si="1"/>
        <v>35</v>
      </c>
      <c r="B36" s="48">
        <v>1981</v>
      </c>
      <c r="C36" s="48"/>
      <c r="D36" s="35">
        <v>1539.1</v>
      </c>
      <c r="E36" s="35">
        <v>703.1</v>
      </c>
      <c r="F36" s="35">
        <v>512.5</v>
      </c>
      <c r="G36" s="35">
        <v>114.9</v>
      </c>
      <c r="H36" s="35">
        <v>24</v>
      </c>
      <c r="I36" s="35">
        <v>18</v>
      </c>
      <c r="J36" s="35">
        <v>2.8</v>
      </c>
      <c r="K36" s="33">
        <v>847.7</v>
      </c>
      <c r="L36" s="33">
        <v>588.20000000000005</v>
      </c>
      <c r="M36" s="33">
        <v>224.3</v>
      </c>
      <c r="N36" s="33">
        <v>193.8</v>
      </c>
      <c r="O36" s="33">
        <v>29.1</v>
      </c>
      <c r="P36" s="33">
        <v>3.8660000000000001</v>
      </c>
      <c r="Q36" s="33">
        <v>80</v>
      </c>
      <c r="R36" s="33">
        <v>33.799999999999997</v>
      </c>
      <c r="S36" s="33">
        <v>24.6</v>
      </c>
      <c r="T36" s="35">
        <v>11.6</v>
      </c>
      <c r="U36" s="33">
        <v>6.8840000000000003</v>
      </c>
      <c r="V36" s="33">
        <v>0.48299999999999998</v>
      </c>
      <c r="W36" s="33">
        <v>0.99399999999999999</v>
      </c>
      <c r="X36" s="33">
        <v>19.899999999999999</v>
      </c>
      <c r="Y36" s="33">
        <v>26.6</v>
      </c>
      <c r="Z36" s="33">
        <v>19.899999999999999</v>
      </c>
      <c r="AA36" s="33">
        <v>1.2090000000000001</v>
      </c>
      <c r="AB36" s="33">
        <v>1.403</v>
      </c>
      <c r="AC36" s="33">
        <v>154.19999999999999</v>
      </c>
      <c r="AD36" s="33">
        <v>12.211</v>
      </c>
      <c r="AE36" s="33">
        <v>88.5</v>
      </c>
      <c r="AF36" s="33">
        <v>2.6</v>
      </c>
      <c r="AG36" s="35">
        <v>34.1</v>
      </c>
      <c r="AH36" s="44"/>
      <c r="AI36" s="38">
        <f>HLOOKUP('Diagramm Einzelkultur'!$B$67,$A$1:$AG$77,36,FALSE)</f>
        <v>1539.1</v>
      </c>
    </row>
    <row r="37" spans="1:35">
      <c r="A37" s="47">
        <f t="shared" si="1"/>
        <v>36</v>
      </c>
      <c r="B37" s="48">
        <v>1982</v>
      </c>
      <c r="C37" s="48"/>
      <c r="D37" s="35">
        <v>1532.7</v>
      </c>
      <c r="E37" s="35">
        <v>680.3</v>
      </c>
      <c r="F37" s="35">
        <v>510.2</v>
      </c>
      <c r="G37" s="35">
        <v>113.8</v>
      </c>
      <c r="H37" s="35">
        <v>24</v>
      </c>
      <c r="I37" s="35">
        <v>17.7</v>
      </c>
      <c r="J37" s="35">
        <v>2.7</v>
      </c>
      <c r="K37" s="33">
        <v>845.3</v>
      </c>
      <c r="L37" s="33">
        <v>584.5</v>
      </c>
      <c r="M37" s="33">
        <v>215.9</v>
      </c>
      <c r="N37" s="33">
        <v>202.2</v>
      </c>
      <c r="O37" s="33">
        <v>30.2</v>
      </c>
      <c r="P37" s="33">
        <v>3.399</v>
      </c>
      <c r="Q37" s="33">
        <v>75.5</v>
      </c>
      <c r="R37" s="33">
        <v>31.2</v>
      </c>
      <c r="S37" s="33">
        <v>22.8</v>
      </c>
      <c r="T37" s="35">
        <v>11.1</v>
      </c>
      <c r="U37" s="33">
        <v>7.1479999999999997</v>
      </c>
      <c r="V37" s="33">
        <v>0.432</v>
      </c>
      <c r="W37" s="33">
        <v>0.98699999999999999</v>
      </c>
      <c r="X37" s="33">
        <v>31.3</v>
      </c>
      <c r="Y37" s="33">
        <v>31</v>
      </c>
      <c r="Z37" s="33">
        <v>26.6</v>
      </c>
      <c r="AA37" s="33">
        <v>1.2310000000000001</v>
      </c>
      <c r="AB37" s="33">
        <v>1.353</v>
      </c>
      <c r="AC37" s="33">
        <v>154.9</v>
      </c>
      <c r="AD37" s="33">
        <v>11.273</v>
      </c>
      <c r="AE37" s="33">
        <v>91.9</v>
      </c>
      <c r="AF37" s="33">
        <v>2.2000000000000002</v>
      </c>
      <c r="AG37" s="35">
        <v>34.5</v>
      </c>
      <c r="AH37" s="44"/>
      <c r="AI37" s="38">
        <f>HLOOKUP('Diagramm Einzelkultur'!$B$67,$A$1:$AG$77,37,FALSE)</f>
        <v>1532.7</v>
      </c>
    </row>
    <row r="38" spans="1:35">
      <c r="A38" s="47">
        <f t="shared" si="1"/>
        <v>37</v>
      </c>
      <c r="B38" s="48">
        <v>1983</v>
      </c>
      <c r="C38" s="48"/>
      <c r="D38" s="35">
        <v>1524.8</v>
      </c>
      <c r="E38" s="33">
        <v>634.6</v>
      </c>
      <c r="F38" s="33">
        <v>508.6</v>
      </c>
      <c r="G38" s="33">
        <v>111.4</v>
      </c>
      <c r="H38" s="33">
        <v>24.4</v>
      </c>
      <c r="I38" s="33">
        <v>17.5</v>
      </c>
      <c r="J38" s="33">
        <v>2.6</v>
      </c>
      <c r="K38" s="33">
        <v>840.5</v>
      </c>
      <c r="L38" s="33">
        <v>579.4</v>
      </c>
      <c r="M38" s="33">
        <v>223.1</v>
      </c>
      <c r="N38" s="33">
        <v>198.8</v>
      </c>
      <c r="O38" s="33">
        <v>30.3</v>
      </c>
      <c r="P38" s="33">
        <v>3.4870000000000001</v>
      </c>
      <c r="Q38" s="33">
        <v>57.048000000000002</v>
      </c>
      <c r="R38" s="33">
        <v>17.29</v>
      </c>
      <c r="S38" s="33">
        <v>22.271999999999998</v>
      </c>
      <c r="T38" s="33">
        <v>11.9</v>
      </c>
      <c r="U38" s="97">
        <v>7.03</v>
      </c>
      <c r="V38" s="97">
        <v>0.46899999999999997</v>
      </c>
      <c r="W38" s="97">
        <v>1.022</v>
      </c>
      <c r="X38" s="33">
        <v>34.884999999999998</v>
      </c>
      <c r="Y38" s="97">
        <v>34.6</v>
      </c>
      <c r="Z38" s="33">
        <v>31</v>
      </c>
      <c r="AA38" s="33">
        <v>1.222</v>
      </c>
      <c r="AB38" s="33">
        <v>1.319</v>
      </c>
      <c r="AC38" s="33">
        <v>152.9</v>
      </c>
      <c r="AD38" s="33">
        <v>10.305</v>
      </c>
      <c r="AE38" s="33">
        <v>92</v>
      </c>
      <c r="AF38" s="33">
        <v>2.8</v>
      </c>
      <c r="AG38" s="35">
        <v>34.4</v>
      </c>
      <c r="AH38" s="44"/>
      <c r="AI38" s="38">
        <f>HLOOKUP('Diagramm Einzelkultur'!$B$67,$A$1:$AG$77,38,FALSE)</f>
        <v>1524.8</v>
      </c>
    </row>
    <row r="39" spans="1:35">
      <c r="A39" s="30">
        <f t="shared" si="1"/>
        <v>38</v>
      </c>
      <c r="B39" s="31">
        <v>1984</v>
      </c>
      <c r="C39" s="31"/>
      <c r="D39" s="34">
        <v>1519.9</v>
      </c>
      <c r="E39" s="34">
        <v>674.5</v>
      </c>
      <c r="F39" s="34">
        <v>505.8</v>
      </c>
      <c r="G39" s="34">
        <v>110</v>
      </c>
      <c r="H39" s="34">
        <v>24.7</v>
      </c>
      <c r="I39" s="34">
        <v>17.3</v>
      </c>
      <c r="J39" s="34">
        <v>2.9</v>
      </c>
      <c r="K39" s="36">
        <v>839.9</v>
      </c>
      <c r="L39" s="36">
        <v>574.5</v>
      </c>
      <c r="M39" s="36">
        <v>222.4</v>
      </c>
      <c r="N39" s="36">
        <v>197.8</v>
      </c>
      <c r="O39" s="46">
        <v>29.4</v>
      </c>
      <c r="P39" s="46">
        <v>4.3869999999999996</v>
      </c>
      <c r="Q39" s="36">
        <v>65.099999999999994</v>
      </c>
      <c r="R39" s="36">
        <v>17.390999999999998</v>
      </c>
      <c r="S39" s="36">
        <v>23.672000000000001</v>
      </c>
      <c r="T39" s="35">
        <v>11.9</v>
      </c>
      <c r="U39" s="97">
        <v>6.8890000000000002</v>
      </c>
      <c r="V39" s="97">
        <v>0.44800000000000001</v>
      </c>
      <c r="W39" s="97">
        <v>1.004</v>
      </c>
      <c r="X39" s="36">
        <v>34.6</v>
      </c>
      <c r="Y39" s="97">
        <v>34.1</v>
      </c>
      <c r="Z39" s="46">
        <v>34.6</v>
      </c>
      <c r="AA39" s="36">
        <v>1.222</v>
      </c>
      <c r="AB39" s="36">
        <v>1.333</v>
      </c>
      <c r="AC39" s="36">
        <v>154.80000000000001</v>
      </c>
      <c r="AD39" s="36">
        <v>8.8000000000000007</v>
      </c>
      <c r="AE39" s="36">
        <v>96.8</v>
      </c>
      <c r="AF39" s="36">
        <v>2</v>
      </c>
      <c r="AG39" s="35">
        <v>4.9000000000000004</v>
      </c>
      <c r="AH39" s="44"/>
      <c r="AI39" s="38">
        <f>HLOOKUP('Diagramm Einzelkultur'!$B$67,$A$1:$AG$77,39,FALSE)</f>
        <v>1519.9</v>
      </c>
    </row>
    <row r="40" spans="1:35">
      <c r="A40" s="30">
        <f t="shared" si="1"/>
        <v>39</v>
      </c>
      <c r="B40" s="31">
        <v>1985</v>
      </c>
      <c r="C40" s="31"/>
      <c r="D40" s="34">
        <v>1515.3</v>
      </c>
      <c r="E40" s="34">
        <v>626.29999999999995</v>
      </c>
      <c r="F40" s="34">
        <v>502.8</v>
      </c>
      <c r="G40" s="34">
        <v>109</v>
      </c>
      <c r="H40" s="34">
        <v>24.9</v>
      </c>
      <c r="I40" s="34">
        <v>17.2</v>
      </c>
      <c r="J40" s="34">
        <v>2.2000000000000002</v>
      </c>
      <c r="K40" s="36">
        <v>839.7</v>
      </c>
      <c r="L40" s="36">
        <v>571</v>
      </c>
      <c r="M40" s="36">
        <v>218.6</v>
      </c>
      <c r="N40" s="36">
        <v>200.8</v>
      </c>
      <c r="O40" s="46">
        <v>29.1</v>
      </c>
      <c r="P40" s="46">
        <v>4.62</v>
      </c>
      <c r="Q40" s="36">
        <v>61.4</v>
      </c>
      <c r="R40" s="36">
        <v>15.5</v>
      </c>
      <c r="S40" s="36">
        <v>23.4</v>
      </c>
      <c r="T40" s="35">
        <v>12</v>
      </c>
      <c r="U40" s="97">
        <v>7.0309999999999997</v>
      </c>
      <c r="V40" s="97">
        <v>0.46300000000000002</v>
      </c>
      <c r="W40" s="97">
        <v>1.139</v>
      </c>
      <c r="X40" s="36">
        <v>34.1</v>
      </c>
      <c r="Y40" s="97">
        <v>42.7</v>
      </c>
      <c r="Z40" s="46">
        <v>34.1</v>
      </c>
      <c r="AA40" s="85">
        <v>1.242</v>
      </c>
      <c r="AB40" s="85">
        <v>1.3</v>
      </c>
      <c r="AC40" s="36">
        <v>158.9</v>
      </c>
      <c r="AD40" s="36">
        <v>10.4</v>
      </c>
      <c r="AE40" s="36">
        <v>100.5</v>
      </c>
      <c r="AF40" s="36">
        <v>2.1</v>
      </c>
      <c r="AG40" s="35">
        <v>4.7</v>
      </c>
      <c r="AH40" s="44"/>
      <c r="AI40" s="38">
        <f>HLOOKUP('Diagramm Einzelkultur'!$B$67,$A$1:$AG$77,40,FALSE)</f>
        <v>1515.3</v>
      </c>
    </row>
    <row r="41" spans="1:35">
      <c r="A41" s="30">
        <f t="shared" si="1"/>
        <v>40</v>
      </c>
      <c r="B41" s="31">
        <v>1986</v>
      </c>
      <c r="C41" s="31"/>
      <c r="D41" s="34">
        <v>1509.9</v>
      </c>
      <c r="E41" s="34">
        <v>622</v>
      </c>
      <c r="F41" s="34">
        <v>499.6</v>
      </c>
      <c r="G41" s="34">
        <v>108.8</v>
      </c>
      <c r="H41" s="34">
        <v>24.9</v>
      </c>
      <c r="I41" s="34">
        <v>17</v>
      </c>
      <c r="J41" s="34">
        <v>2.2999999999999998</v>
      </c>
      <c r="K41" s="36">
        <v>838.8</v>
      </c>
      <c r="L41" s="36">
        <v>560.20000000000005</v>
      </c>
      <c r="M41" s="36">
        <v>216.3</v>
      </c>
      <c r="N41" s="36">
        <v>197.4</v>
      </c>
      <c r="O41" s="46">
        <v>31.9</v>
      </c>
      <c r="P41" s="46">
        <v>6.25</v>
      </c>
      <c r="Q41" s="36">
        <v>60.6</v>
      </c>
      <c r="R41" s="36">
        <v>14.9</v>
      </c>
      <c r="S41" s="36">
        <v>23.3</v>
      </c>
      <c r="T41" s="35">
        <v>12.9</v>
      </c>
      <c r="U41" s="33">
        <v>7.4509999999999996</v>
      </c>
      <c r="V41" s="33">
        <v>0.40100000000000002</v>
      </c>
      <c r="W41" s="33">
        <v>1.214</v>
      </c>
      <c r="X41" s="36">
        <v>42.7</v>
      </c>
      <c r="Y41" s="33">
        <v>54.1</v>
      </c>
      <c r="Z41" s="46">
        <v>42.7</v>
      </c>
      <c r="AA41" s="85">
        <v>1.268</v>
      </c>
      <c r="AB41" s="85">
        <v>1.327</v>
      </c>
      <c r="AC41" s="36">
        <v>152.80000000000001</v>
      </c>
      <c r="AD41" s="36">
        <v>8.6999999999999993</v>
      </c>
      <c r="AE41" s="36">
        <v>95.6</v>
      </c>
      <c r="AF41" s="36">
        <v>2.6</v>
      </c>
      <c r="AG41" s="35">
        <v>4.5999999999999996</v>
      </c>
      <c r="AH41" s="44"/>
      <c r="AI41" s="38">
        <f>HLOOKUP('Diagramm Einzelkultur'!$B$67,$A$1:$AG$77,41,FALSE)</f>
        <v>1509.9</v>
      </c>
    </row>
    <row r="42" spans="1:35">
      <c r="A42" s="47">
        <f t="shared" si="1"/>
        <v>41</v>
      </c>
      <c r="B42" s="48">
        <v>1987</v>
      </c>
      <c r="C42" s="48"/>
      <c r="D42" s="35">
        <v>1502.6</v>
      </c>
      <c r="E42" s="33">
        <v>594.29499999999996</v>
      </c>
      <c r="F42" s="33">
        <v>494.9</v>
      </c>
      <c r="G42" s="33">
        <v>107.2</v>
      </c>
      <c r="H42" s="33">
        <v>25</v>
      </c>
      <c r="I42" s="33">
        <v>17.2</v>
      </c>
      <c r="J42" s="33">
        <v>2.2000000000000002</v>
      </c>
      <c r="K42" s="33">
        <v>836.5</v>
      </c>
      <c r="L42" s="33">
        <v>553.20000000000005</v>
      </c>
      <c r="M42" s="33">
        <v>220.1</v>
      </c>
      <c r="N42" s="33">
        <v>190.2</v>
      </c>
      <c r="O42" s="33">
        <v>30.8</v>
      </c>
      <c r="P42" s="33">
        <v>16.5</v>
      </c>
      <c r="Q42" s="33">
        <v>47.238</v>
      </c>
      <c r="R42" s="33">
        <v>12.744999999999999</v>
      </c>
      <c r="S42" s="33">
        <v>22.355</v>
      </c>
      <c r="T42" s="33">
        <v>8.4130000000000003</v>
      </c>
      <c r="U42" s="97">
        <v>7.22</v>
      </c>
      <c r="V42" s="97">
        <v>0.45100000000000001</v>
      </c>
      <c r="W42" s="97">
        <v>1.1299999999999999</v>
      </c>
      <c r="X42" s="33">
        <v>58.401000000000003</v>
      </c>
      <c r="Y42" s="97">
        <v>53.2</v>
      </c>
      <c r="Z42" s="33">
        <v>52.3</v>
      </c>
      <c r="AA42" s="33">
        <v>1.3009999999999999</v>
      </c>
      <c r="AB42" s="33">
        <v>1.159</v>
      </c>
      <c r="AC42" s="33">
        <v>147.80000000000001</v>
      </c>
      <c r="AD42" s="33">
        <v>7.7060000000000004</v>
      </c>
      <c r="AE42" s="33">
        <v>91.6</v>
      </c>
      <c r="AF42" s="33">
        <v>2.6</v>
      </c>
      <c r="AG42" s="35">
        <v>4.4000000000000004</v>
      </c>
      <c r="AH42" s="44"/>
      <c r="AI42" s="38">
        <f>HLOOKUP('Diagramm Einzelkultur'!$B$67,$A$1:$AG$77,42,FALSE)</f>
        <v>1502.6</v>
      </c>
    </row>
    <row r="43" spans="1:35">
      <c r="A43" s="47">
        <f t="shared" si="1"/>
        <v>42</v>
      </c>
      <c r="B43" s="48">
        <v>1988</v>
      </c>
      <c r="C43" s="48"/>
      <c r="D43" s="35">
        <v>1497.8</v>
      </c>
      <c r="E43" s="35">
        <v>611.70000000000005</v>
      </c>
      <c r="F43" s="35">
        <v>490.6</v>
      </c>
      <c r="G43" s="35">
        <v>106.2</v>
      </c>
      <c r="H43" s="35">
        <v>25.1</v>
      </c>
      <c r="I43" s="35">
        <v>17.100000000000001</v>
      </c>
      <c r="J43" s="35">
        <v>2.5</v>
      </c>
      <c r="K43" s="49">
        <v>836.7</v>
      </c>
      <c r="L43" s="49">
        <v>565.20000000000005</v>
      </c>
      <c r="M43" s="49">
        <v>214</v>
      </c>
      <c r="N43" s="49">
        <v>202.7</v>
      </c>
      <c r="O43" s="46">
        <v>33</v>
      </c>
      <c r="P43" s="46">
        <v>12.154</v>
      </c>
      <c r="Q43" s="49">
        <v>53.2</v>
      </c>
      <c r="R43" s="49">
        <v>12.4</v>
      </c>
      <c r="S43" s="49">
        <v>22.605</v>
      </c>
      <c r="T43" s="35">
        <v>7.7519999999999998</v>
      </c>
      <c r="U43" s="97">
        <v>7.16</v>
      </c>
      <c r="V43" s="97">
        <v>0.53900000000000003</v>
      </c>
      <c r="W43" s="97">
        <v>1.1419999999999999</v>
      </c>
      <c r="X43" s="49">
        <v>53.2</v>
      </c>
      <c r="Y43" s="97">
        <v>55.3</v>
      </c>
      <c r="Z43" s="46">
        <v>48.2</v>
      </c>
      <c r="AA43" s="49">
        <v>1.3380000000000001</v>
      </c>
      <c r="AB43" s="49">
        <v>1.319</v>
      </c>
      <c r="AC43" s="49">
        <v>145.30000000000001</v>
      </c>
      <c r="AD43" s="49">
        <v>8</v>
      </c>
      <c r="AE43" s="49">
        <v>91</v>
      </c>
      <c r="AF43" s="49">
        <v>2.6</v>
      </c>
      <c r="AG43" s="35">
        <v>4.3</v>
      </c>
      <c r="AH43" s="44"/>
      <c r="AI43" s="38">
        <f>HLOOKUP('Diagramm Einzelkultur'!$B$67,$A$1:$AG$77,43,FALSE)</f>
        <v>1497.8</v>
      </c>
    </row>
    <row r="44" spans="1:35" ht="13.5" thickBot="1">
      <c r="A44" s="77">
        <f t="shared" si="1"/>
        <v>43</v>
      </c>
      <c r="B44" s="72">
        <v>1989</v>
      </c>
      <c r="C44" s="72"/>
      <c r="D44" s="73">
        <v>1493.5</v>
      </c>
      <c r="E44" s="73">
        <v>606.29999999999995</v>
      </c>
      <c r="F44" s="73">
        <v>485.5</v>
      </c>
      <c r="G44" s="73">
        <v>105.7</v>
      </c>
      <c r="H44" s="73">
        <v>25.3</v>
      </c>
      <c r="I44" s="73">
        <v>17.8</v>
      </c>
      <c r="J44" s="73">
        <v>2.4</v>
      </c>
      <c r="K44" s="78">
        <v>837.1</v>
      </c>
      <c r="L44" s="78">
        <v>559</v>
      </c>
      <c r="M44" s="78">
        <v>216.9</v>
      </c>
      <c r="N44" s="78">
        <v>201.6</v>
      </c>
      <c r="O44" s="79">
        <v>31.5</v>
      </c>
      <c r="P44" s="79">
        <v>11.2</v>
      </c>
      <c r="Q44" s="78">
        <v>50.4</v>
      </c>
      <c r="R44" s="78">
        <v>10.837999999999999</v>
      </c>
      <c r="S44" s="78">
        <v>22.058</v>
      </c>
      <c r="T44" s="73">
        <v>8.4260000000000002</v>
      </c>
      <c r="U44" s="100">
        <v>7.024</v>
      </c>
      <c r="V44" s="100">
        <v>0.47199999999999998</v>
      </c>
      <c r="W44" s="100">
        <v>1.087</v>
      </c>
      <c r="X44" s="78">
        <v>55.3</v>
      </c>
      <c r="Y44" s="100">
        <v>77.2</v>
      </c>
      <c r="Z44" s="79">
        <v>48.7</v>
      </c>
      <c r="AA44" s="78">
        <v>1.3819999999999999</v>
      </c>
      <c r="AB44" s="78">
        <v>1.333</v>
      </c>
      <c r="AC44" s="78">
        <v>137</v>
      </c>
      <c r="AD44" s="78">
        <v>6.8</v>
      </c>
      <c r="AE44" s="78">
        <v>84.7</v>
      </c>
      <c r="AF44" s="78">
        <v>19</v>
      </c>
      <c r="AG44" s="73">
        <v>4.2</v>
      </c>
      <c r="AH44" s="44"/>
      <c r="AI44" s="38">
        <f>HLOOKUP('Diagramm Einzelkultur'!$B$67,$A$1:$AG$77,44,FALSE)</f>
        <v>1493.5</v>
      </c>
    </row>
    <row r="45" spans="1:35">
      <c r="A45" s="74">
        <f t="shared" si="1"/>
        <v>44</v>
      </c>
      <c r="B45" s="69">
        <v>1990</v>
      </c>
      <c r="C45" s="69"/>
      <c r="D45" s="70">
        <v>1490.4</v>
      </c>
      <c r="E45" s="70">
        <v>531.6</v>
      </c>
      <c r="F45" s="70">
        <v>481.1</v>
      </c>
      <c r="G45" s="70">
        <v>105.4</v>
      </c>
      <c r="H45" s="70">
        <v>25.8</v>
      </c>
      <c r="I45" s="70">
        <v>18.100000000000001</v>
      </c>
      <c r="J45" s="70">
        <v>2.4</v>
      </c>
      <c r="K45" s="75">
        <v>838</v>
      </c>
      <c r="L45" s="75">
        <v>538.6</v>
      </c>
      <c r="M45" s="75">
        <v>210.2</v>
      </c>
      <c r="N45" s="75">
        <v>200.4</v>
      </c>
      <c r="O45" s="76">
        <v>30</v>
      </c>
      <c r="P45" s="76">
        <v>8.4540000000000006</v>
      </c>
      <c r="Q45" s="75">
        <v>50.5</v>
      </c>
      <c r="R45" s="75">
        <v>10.632</v>
      </c>
      <c r="S45" s="75">
        <v>23.515999999999998</v>
      </c>
      <c r="T45" s="70">
        <v>8.6880000000000006</v>
      </c>
      <c r="U45" s="64">
        <v>6.9379999999999997</v>
      </c>
      <c r="V45" s="64">
        <v>0.52100000000000002</v>
      </c>
      <c r="W45" s="64">
        <v>1.1659999999999999</v>
      </c>
      <c r="X45" s="75">
        <v>77.2</v>
      </c>
      <c r="Y45" s="64">
        <v>82.1</v>
      </c>
      <c r="Z45" s="76">
        <v>64.2</v>
      </c>
      <c r="AA45" s="75">
        <v>1.4410000000000001</v>
      </c>
      <c r="AB45" s="75">
        <v>1.3640000000000001</v>
      </c>
      <c r="AC45" s="75">
        <v>132.9</v>
      </c>
      <c r="AD45" s="75">
        <v>7.3</v>
      </c>
      <c r="AE45" s="75">
        <v>81.2</v>
      </c>
      <c r="AF45" s="75">
        <v>25.2</v>
      </c>
      <c r="AG45" s="70">
        <v>4.0999999999999996</v>
      </c>
      <c r="AH45" s="44"/>
      <c r="AI45" s="38">
        <f>HLOOKUP('Diagramm Einzelkultur'!$B$67,$A$1:$AG$77,45,FALSE)</f>
        <v>1490.4</v>
      </c>
    </row>
    <row r="46" spans="1:35">
      <c r="A46" s="47">
        <f t="shared" si="1"/>
        <v>45</v>
      </c>
      <c r="B46" s="48">
        <v>1991</v>
      </c>
      <c r="C46" s="48"/>
      <c r="D46" s="35">
        <v>1483.2</v>
      </c>
      <c r="E46" s="33">
        <v>572.08699999999999</v>
      </c>
      <c r="F46" s="33">
        <v>473</v>
      </c>
      <c r="G46" s="33">
        <v>104.2</v>
      </c>
      <c r="H46" s="33">
        <v>27.524000000000001</v>
      </c>
      <c r="I46" s="33">
        <v>19</v>
      </c>
      <c r="J46" s="33">
        <v>2.5</v>
      </c>
      <c r="K46" s="33">
        <v>838.4</v>
      </c>
      <c r="L46" s="33">
        <v>531.6</v>
      </c>
      <c r="M46" s="33">
        <v>205.2</v>
      </c>
      <c r="N46" s="33">
        <v>199.9</v>
      </c>
      <c r="O46" s="33">
        <v>33.700000000000003</v>
      </c>
      <c r="P46" s="33">
        <v>6.7</v>
      </c>
      <c r="Q46" s="33">
        <v>40.299999999999997</v>
      </c>
      <c r="R46" s="33">
        <v>9.8119999999999994</v>
      </c>
      <c r="S46" s="33">
        <v>23.6</v>
      </c>
      <c r="T46" s="33">
        <v>9.1999999999999993</v>
      </c>
      <c r="U46" s="97">
        <v>7.157</v>
      </c>
      <c r="V46" s="97">
        <v>0.46400000000000002</v>
      </c>
      <c r="W46" s="97">
        <v>1.194</v>
      </c>
      <c r="X46" s="33">
        <v>86.6</v>
      </c>
      <c r="Y46" s="97">
        <v>73.5</v>
      </c>
      <c r="Z46" s="33">
        <v>67.400000000000006</v>
      </c>
      <c r="AA46" s="33">
        <v>1.514</v>
      </c>
      <c r="AB46" s="33">
        <v>1</v>
      </c>
      <c r="AC46" s="33">
        <v>127.3</v>
      </c>
      <c r="AD46" s="33">
        <v>6.5</v>
      </c>
      <c r="AE46" s="33">
        <v>79</v>
      </c>
      <c r="AF46" s="33">
        <v>36.700000000000003</v>
      </c>
      <c r="AG46" s="35">
        <v>2.7869999999999999</v>
      </c>
      <c r="AH46" s="44"/>
      <c r="AI46" s="38">
        <f>HLOOKUP('Diagramm Einzelkultur'!$B$67,$A$1:$AG$77,46,FALSE)</f>
        <v>1483.2</v>
      </c>
    </row>
    <row r="47" spans="1:35">
      <c r="A47" s="47">
        <f t="shared" si="1"/>
        <v>46</v>
      </c>
      <c r="B47" s="48">
        <v>1992</v>
      </c>
      <c r="C47" s="48"/>
      <c r="D47" s="35">
        <v>1481.9</v>
      </c>
      <c r="E47" s="35">
        <v>591</v>
      </c>
      <c r="F47" s="35">
        <v>471.3</v>
      </c>
      <c r="G47" s="35">
        <v>103.6</v>
      </c>
      <c r="H47" s="35">
        <v>27.597000000000001</v>
      </c>
      <c r="I47" s="35">
        <v>19.8</v>
      </c>
      <c r="J47" s="35">
        <v>2.5</v>
      </c>
      <c r="K47" s="49">
        <v>838.5</v>
      </c>
      <c r="L47" s="49">
        <v>525.79999999999995</v>
      </c>
      <c r="M47" s="49">
        <v>206.1</v>
      </c>
      <c r="N47" s="49">
        <v>195.6</v>
      </c>
      <c r="O47" s="46">
        <v>35.200000000000003</v>
      </c>
      <c r="P47" s="46">
        <v>6.6760000000000002</v>
      </c>
      <c r="Q47" s="49">
        <v>50</v>
      </c>
      <c r="R47" s="49">
        <v>10.9</v>
      </c>
      <c r="S47" s="49">
        <v>24.5</v>
      </c>
      <c r="T47" s="96">
        <v>9.3000000000000007</v>
      </c>
      <c r="U47" s="97">
        <v>7.4829999999999997</v>
      </c>
      <c r="V47" s="97">
        <v>0.70199999999999996</v>
      </c>
      <c r="W47" s="97">
        <v>1.1950000000000001</v>
      </c>
      <c r="X47" s="49">
        <v>73.5</v>
      </c>
      <c r="Y47" s="97">
        <v>48.8</v>
      </c>
      <c r="Z47" s="46">
        <v>58.5</v>
      </c>
      <c r="AA47" s="85">
        <v>1.554</v>
      </c>
      <c r="AB47" s="85">
        <v>1.1419999999999999</v>
      </c>
      <c r="AC47" s="49">
        <v>128.69999999999999</v>
      </c>
      <c r="AD47" s="49">
        <v>6.2</v>
      </c>
      <c r="AE47" s="49">
        <v>79.900000000000006</v>
      </c>
      <c r="AF47" s="49">
        <v>48.9</v>
      </c>
      <c r="AG47" s="35">
        <v>3.7</v>
      </c>
      <c r="AH47" s="44"/>
      <c r="AI47" s="38">
        <f>HLOOKUP('Diagramm Einzelkultur'!$B$67,$A$1:$AG$77,47,FALSE)</f>
        <v>1481.9</v>
      </c>
    </row>
    <row r="48" spans="1:35">
      <c r="A48" s="47">
        <f t="shared" si="1"/>
        <v>47</v>
      </c>
      <c r="B48" s="48">
        <v>1993</v>
      </c>
      <c r="C48" s="48"/>
      <c r="D48" s="35">
        <v>1484.7</v>
      </c>
      <c r="E48" s="35">
        <v>590.79999999999995</v>
      </c>
      <c r="F48" s="35">
        <v>470.9</v>
      </c>
      <c r="G48" s="35">
        <v>103.7</v>
      </c>
      <c r="H48" s="35">
        <v>27.558</v>
      </c>
      <c r="I48" s="35">
        <v>20</v>
      </c>
      <c r="J48" s="35">
        <v>2.5</v>
      </c>
      <c r="K48" s="49">
        <v>841.7</v>
      </c>
      <c r="L48" s="49">
        <v>521.70000000000005</v>
      </c>
      <c r="M48" s="49">
        <v>199.1</v>
      </c>
      <c r="N48" s="49">
        <v>193.5</v>
      </c>
      <c r="O48" s="46">
        <v>35.9</v>
      </c>
      <c r="P48" s="46">
        <v>6.36</v>
      </c>
      <c r="Q48" s="49">
        <v>48</v>
      </c>
      <c r="R48" s="49">
        <v>9.6999999999999993</v>
      </c>
      <c r="S48" s="49">
        <v>24.1</v>
      </c>
      <c r="T48" s="96">
        <v>9.9</v>
      </c>
      <c r="U48" s="97">
        <v>7.4480000000000004</v>
      </c>
      <c r="V48" s="97">
        <v>0.60399999999999998</v>
      </c>
      <c r="W48" s="97">
        <v>1.343</v>
      </c>
      <c r="X48" s="49">
        <v>48.8</v>
      </c>
      <c r="Y48" s="97">
        <v>56</v>
      </c>
      <c r="Z48" s="46">
        <v>41.7</v>
      </c>
      <c r="AA48" s="85">
        <v>1.5820000000000001</v>
      </c>
      <c r="AB48" s="85">
        <v>1.1539999999999999</v>
      </c>
      <c r="AC48" s="49">
        <v>123.1</v>
      </c>
      <c r="AD48" s="49">
        <v>5.6</v>
      </c>
      <c r="AE48" s="49">
        <v>73.900000000000006</v>
      </c>
      <c r="AF48" s="49">
        <v>89.1</v>
      </c>
      <c r="AG48" s="35">
        <v>3.6</v>
      </c>
      <c r="AH48" s="44"/>
      <c r="AI48" s="38">
        <f>HLOOKUP('Diagramm Einzelkultur'!$B$67,$A$1:$AG$77,48,FALSE)</f>
        <v>1484.7</v>
      </c>
    </row>
    <row r="49" spans="1:35">
      <c r="A49" s="47">
        <f t="shared" si="1"/>
        <v>48</v>
      </c>
      <c r="B49" s="48">
        <v>1994</v>
      </c>
      <c r="C49" s="48"/>
      <c r="D49" s="35">
        <v>1483.3</v>
      </c>
      <c r="E49" s="35">
        <v>589.70000000000005</v>
      </c>
      <c r="F49" s="35">
        <v>469.4</v>
      </c>
      <c r="G49" s="35">
        <v>104.7</v>
      </c>
      <c r="H49" s="35">
        <v>27.574999999999999</v>
      </c>
      <c r="I49" s="35">
        <v>20.3</v>
      </c>
      <c r="J49" s="35">
        <v>2.7</v>
      </c>
      <c r="K49" s="49">
        <v>841.1</v>
      </c>
      <c r="L49" s="49">
        <v>534.70000000000005</v>
      </c>
      <c r="M49" s="49">
        <v>204.7</v>
      </c>
      <c r="N49" s="49">
        <v>194.6</v>
      </c>
      <c r="O49" s="46">
        <v>37.9</v>
      </c>
      <c r="P49" s="46">
        <v>6.3860000000000001</v>
      </c>
      <c r="Q49" s="49">
        <v>45.1</v>
      </c>
      <c r="R49" s="49">
        <v>9.6999999999999993</v>
      </c>
      <c r="S49" s="49">
        <v>22.5</v>
      </c>
      <c r="T49" s="96">
        <v>9.1999999999999993</v>
      </c>
      <c r="U49" s="33">
        <v>7.1210000000000004</v>
      </c>
      <c r="V49" s="33">
        <v>0.56799999999999995</v>
      </c>
      <c r="W49" s="33">
        <v>1.2869999999999999</v>
      </c>
      <c r="X49" s="49">
        <v>56</v>
      </c>
      <c r="Y49" s="33">
        <v>55.1</v>
      </c>
      <c r="Z49" s="46">
        <v>42.7</v>
      </c>
      <c r="AA49" s="85">
        <v>1.593</v>
      </c>
      <c r="AB49" s="85">
        <v>1.2290000000000001</v>
      </c>
      <c r="AC49" s="49">
        <v>118.1</v>
      </c>
      <c r="AD49" s="49">
        <v>5.2</v>
      </c>
      <c r="AE49" s="49">
        <v>70.400000000000006</v>
      </c>
      <c r="AF49" s="49">
        <v>76</v>
      </c>
      <c r="AG49" s="35">
        <v>3.4</v>
      </c>
      <c r="AH49" s="44"/>
      <c r="AI49" s="38">
        <f>HLOOKUP('Diagramm Einzelkultur'!$B$67,$A$1:$AG$77,49,FALSE)</f>
        <v>1483.3</v>
      </c>
    </row>
    <row r="50" spans="1:35">
      <c r="A50" s="47">
        <f t="shared" si="1"/>
        <v>49</v>
      </c>
      <c r="B50" s="48">
        <v>1995</v>
      </c>
      <c r="C50" s="48"/>
      <c r="D50" s="35">
        <v>1446.9</v>
      </c>
      <c r="E50" s="33">
        <v>563.75900000000001</v>
      </c>
      <c r="F50" s="33">
        <v>464.7</v>
      </c>
      <c r="G50" s="33">
        <v>104.1</v>
      </c>
      <c r="H50" s="33">
        <v>27.411000000000001</v>
      </c>
      <c r="I50" s="33">
        <v>20.5</v>
      </c>
      <c r="J50" s="33">
        <v>3</v>
      </c>
      <c r="K50" s="33">
        <v>840.4</v>
      </c>
      <c r="L50" s="33">
        <v>540.5</v>
      </c>
      <c r="M50" s="33">
        <v>214.9</v>
      </c>
      <c r="N50" s="33">
        <v>191.1</v>
      </c>
      <c r="O50" s="33">
        <v>41</v>
      </c>
      <c r="P50" s="33">
        <v>5.63</v>
      </c>
      <c r="Q50" s="33">
        <v>35.9</v>
      </c>
      <c r="R50" s="33">
        <v>9.0449999999999999</v>
      </c>
      <c r="S50" s="33">
        <v>22.5</v>
      </c>
      <c r="T50" s="33">
        <v>10.199999999999999</v>
      </c>
      <c r="U50" s="97">
        <v>7.6260000000000003</v>
      </c>
      <c r="V50" s="97">
        <v>0.745</v>
      </c>
      <c r="W50" s="97">
        <v>1.48</v>
      </c>
      <c r="X50" s="33">
        <v>59</v>
      </c>
      <c r="Y50" s="97">
        <v>50</v>
      </c>
      <c r="Z50" s="33">
        <v>48.4</v>
      </c>
      <c r="AA50" s="33">
        <v>1.599</v>
      </c>
      <c r="AB50" s="33">
        <v>1.1839999999999999</v>
      </c>
      <c r="AC50" s="33">
        <v>116.1</v>
      </c>
      <c r="AD50" s="33">
        <v>4</v>
      </c>
      <c r="AE50" s="33">
        <v>72.099999999999994</v>
      </c>
      <c r="AF50" s="33">
        <v>73</v>
      </c>
      <c r="AG50" s="35">
        <v>3.3</v>
      </c>
      <c r="AH50" s="44"/>
      <c r="AI50" s="38">
        <f>HLOOKUP('Diagramm Einzelkultur'!$B$67,$A$1:$AG$77,50,FALSE)</f>
        <v>1446.9</v>
      </c>
    </row>
    <row r="51" spans="1:35">
      <c r="A51" s="47">
        <f t="shared" si="1"/>
        <v>50</v>
      </c>
      <c r="B51" s="48">
        <v>1996</v>
      </c>
      <c r="C51" s="48"/>
      <c r="D51" s="35">
        <v>1475.4</v>
      </c>
      <c r="E51" s="35">
        <v>582</v>
      </c>
      <c r="F51" s="35">
        <v>463</v>
      </c>
      <c r="G51" s="35">
        <v>104.5</v>
      </c>
      <c r="H51" s="35">
        <v>27.076000000000001</v>
      </c>
      <c r="I51" s="35">
        <v>21</v>
      </c>
      <c r="J51" s="35">
        <v>3.1</v>
      </c>
      <c r="K51" s="49">
        <v>840.3</v>
      </c>
      <c r="L51" s="49">
        <v>554.70000000000005</v>
      </c>
      <c r="M51" s="49">
        <v>214.7</v>
      </c>
      <c r="N51" s="49">
        <v>202.9</v>
      </c>
      <c r="O51" s="46">
        <v>46.1</v>
      </c>
      <c r="P51" s="46">
        <v>5.1580000000000004</v>
      </c>
      <c r="Q51" s="49">
        <v>45.7</v>
      </c>
      <c r="R51" s="49">
        <v>9.6999999999999993</v>
      </c>
      <c r="S51" s="49">
        <v>22.5</v>
      </c>
      <c r="T51" s="35">
        <v>10.1</v>
      </c>
      <c r="U51" s="97">
        <v>8.2609999999999992</v>
      </c>
      <c r="V51" s="97">
        <v>0.96599999999999997</v>
      </c>
      <c r="W51" s="97">
        <v>1.7270000000000001</v>
      </c>
      <c r="X51" s="49">
        <v>50</v>
      </c>
      <c r="Y51" s="97">
        <v>49.6</v>
      </c>
      <c r="Z51" s="46">
        <v>45</v>
      </c>
      <c r="AA51" s="85">
        <v>1.641</v>
      </c>
      <c r="AB51" s="85">
        <v>1.2250000000000001</v>
      </c>
      <c r="AC51" s="49">
        <v>119.2</v>
      </c>
      <c r="AD51" s="49">
        <v>4</v>
      </c>
      <c r="AE51" s="49">
        <v>75.3</v>
      </c>
      <c r="AF51" s="49">
        <v>60.8</v>
      </c>
      <c r="AG51" s="35">
        <v>3.2</v>
      </c>
      <c r="AH51" s="44"/>
      <c r="AI51" s="38">
        <f>HLOOKUP('Diagramm Einzelkultur'!$B$67,$A$1:$AG$77,51,FALSE)</f>
        <v>1475.4</v>
      </c>
    </row>
    <row r="52" spans="1:35">
      <c r="A52" s="47">
        <f t="shared" si="1"/>
        <v>51</v>
      </c>
      <c r="B52" s="48">
        <v>1997</v>
      </c>
      <c r="C52" s="48"/>
      <c r="D52" s="35">
        <v>1469.6</v>
      </c>
      <c r="E52" s="35">
        <v>580.1</v>
      </c>
      <c r="F52" s="35">
        <v>461.2</v>
      </c>
      <c r="G52" s="35">
        <v>104.1</v>
      </c>
      <c r="H52" s="35">
        <v>26.954999999999998</v>
      </c>
      <c r="I52" s="35">
        <v>21.1</v>
      </c>
      <c r="J52" s="35">
        <v>3</v>
      </c>
      <c r="K52" s="49">
        <v>836.3</v>
      </c>
      <c r="L52" s="49">
        <v>572.79999999999995</v>
      </c>
      <c r="M52" s="49">
        <v>217.7</v>
      </c>
      <c r="N52" s="49">
        <v>211.8</v>
      </c>
      <c r="O52" s="46">
        <v>51.2</v>
      </c>
      <c r="P52" s="46">
        <v>6.4459999999999997</v>
      </c>
      <c r="Q52" s="49">
        <v>43</v>
      </c>
      <c r="R52" s="49">
        <v>8.4</v>
      </c>
      <c r="S52" s="49">
        <v>22</v>
      </c>
      <c r="T52" s="35">
        <v>9.6999999999999993</v>
      </c>
      <c r="U52" s="97">
        <v>7.9</v>
      </c>
      <c r="V52" s="97">
        <v>0.81299999999999994</v>
      </c>
      <c r="W52" s="97">
        <v>2.113</v>
      </c>
      <c r="X52" s="49">
        <v>49.6</v>
      </c>
      <c r="Y52" s="97">
        <v>65.900000000000006</v>
      </c>
      <c r="Z52" s="46">
        <v>44.8</v>
      </c>
      <c r="AA52" s="85">
        <v>1.6539999999999999</v>
      </c>
      <c r="AB52" s="85">
        <v>1.3029999999999999</v>
      </c>
      <c r="AC52" s="49">
        <v>118.9</v>
      </c>
      <c r="AD52" s="49">
        <v>3.6</v>
      </c>
      <c r="AE52" s="49">
        <v>74.900000000000006</v>
      </c>
      <c r="AF52" s="49">
        <v>40.299999999999997</v>
      </c>
      <c r="AG52" s="35">
        <v>3.1</v>
      </c>
      <c r="AH52" s="44"/>
      <c r="AI52" s="38">
        <f>HLOOKUP('Diagramm Einzelkultur'!$B$67,$A$1:$AG$77,52,FALSE)</f>
        <v>1469.6</v>
      </c>
    </row>
    <row r="53" spans="1:35">
      <c r="A53" s="47">
        <f t="shared" si="1"/>
        <v>52</v>
      </c>
      <c r="B53" s="48">
        <v>1998</v>
      </c>
      <c r="C53" s="48"/>
      <c r="D53" s="35">
        <v>1496.8</v>
      </c>
      <c r="E53" s="35">
        <v>588.70000000000005</v>
      </c>
      <c r="F53" s="35">
        <v>449</v>
      </c>
      <c r="G53" s="35">
        <v>118</v>
      </c>
      <c r="H53" s="35">
        <v>24.9</v>
      </c>
      <c r="I53" s="35">
        <v>23.2</v>
      </c>
      <c r="J53" s="35">
        <v>2.8</v>
      </c>
      <c r="K53" s="49">
        <v>853.5</v>
      </c>
      <c r="L53" s="49">
        <v>565.20000000000005</v>
      </c>
      <c r="M53" s="49">
        <v>226.6</v>
      </c>
      <c r="N53" s="49">
        <v>203.1</v>
      </c>
      <c r="O53" s="46">
        <v>52.9</v>
      </c>
      <c r="P53" s="46">
        <v>9.7949999999999999</v>
      </c>
      <c r="Q53" s="49">
        <v>44.7</v>
      </c>
      <c r="R53" s="49">
        <v>8.1999999999999993</v>
      </c>
      <c r="S53" s="49">
        <v>23.2</v>
      </c>
      <c r="T53" s="35">
        <v>11.4</v>
      </c>
      <c r="U53" s="33">
        <v>8.6760000000000002</v>
      </c>
      <c r="V53" s="33">
        <v>1.288</v>
      </c>
      <c r="W53" s="33">
        <v>1.7929999999999999</v>
      </c>
      <c r="X53" s="49">
        <v>65.900000000000006</v>
      </c>
      <c r="Y53" s="33">
        <v>83.1</v>
      </c>
      <c r="Z53" s="46">
        <v>59.3</v>
      </c>
      <c r="AA53" s="85">
        <v>1.696</v>
      </c>
      <c r="AB53" s="85">
        <v>1.5069999999999999</v>
      </c>
      <c r="AC53" s="49">
        <v>122.6</v>
      </c>
      <c r="AD53" s="49">
        <v>1.8</v>
      </c>
      <c r="AE53" s="49">
        <v>73.7</v>
      </c>
      <c r="AF53" s="49">
        <v>40.4</v>
      </c>
      <c r="AG53" s="35">
        <v>2.1</v>
      </c>
      <c r="AH53" s="44"/>
      <c r="AI53" s="38">
        <f>HLOOKUP('Diagramm Einzelkultur'!$B$67,$A$1:$AG$77,53,FALSE)</f>
        <v>1496.8</v>
      </c>
    </row>
    <row r="54" spans="1:35" ht="13.5" thickBot="1">
      <c r="A54" s="77">
        <f t="shared" si="1"/>
        <v>53</v>
      </c>
      <c r="B54" s="72">
        <v>1999</v>
      </c>
      <c r="C54" s="72"/>
      <c r="D54" s="73">
        <v>1473.1179999999999</v>
      </c>
      <c r="E54" s="68">
        <v>573.67100000000005</v>
      </c>
      <c r="F54" s="68">
        <v>436.3</v>
      </c>
      <c r="G54" s="68">
        <v>115.7</v>
      </c>
      <c r="H54" s="68">
        <v>23.614999999999998</v>
      </c>
      <c r="I54" s="68">
        <v>21.059000000000001</v>
      </c>
      <c r="J54" s="68">
        <v>2.7</v>
      </c>
      <c r="K54" s="68">
        <v>849.5</v>
      </c>
      <c r="L54" s="68">
        <v>538.6</v>
      </c>
      <c r="M54" s="68">
        <v>210.6</v>
      </c>
      <c r="N54" s="68">
        <v>199</v>
      </c>
      <c r="O54" s="68">
        <v>54.3</v>
      </c>
      <c r="P54" s="68">
        <v>8.6</v>
      </c>
      <c r="Q54" s="68">
        <v>32.5</v>
      </c>
      <c r="R54" s="68">
        <v>8.0730000000000004</v>
      </c>
      <c r="S54" s="68">
        <v>22.7</v>
      </c>
      <c r="T54" s="68">
        <v>11.8</v>
      </c>
      <c r="U54" s="68">
        <v>7.8070000000000004</v>
      </c>
      <c r="V54" s="68">
        <v>1.196</v>
      </c>
      <c r="W54" s="68">
        <v>1.8720000000000001</v>
      </c>
      <c r="X54" s="68">
        <v>88.3</v>
      </c>
      <c r="Y54" s="68">
        <v>66.400000000000006</v>
      </c>
      <c r="Z54" s="68">
        <v>76.459000000000003</v>
      </c>
      <c r="AA54" s="68">
        <v>1.6</v>
      </c>
      <c r="AB54" s="68">
        <v>1.7</v>
      </c>
      <c r="AC54" s="68">
        <v>120.1</v>
      </c>
      <c r="AD54" s="68">
        <v>1.6</v>
      </c>
      <c r="AE54" s="68">
        <v>72.665999999999997</v>
      </c>
      <c r="AF54" s="68">
        <v>49.7</v>
      </c>
      <c r="AG54" s="73">
        <v>1.01</v>
      </c>
      <c r="AH54" s="44"/>
      <c r="AI54" s="38">
        <f>HLOOKUP('Diagramm Einzelkultur'!$B$67,$A$1:$AG$77,54,FALSE)</f>
        <v>1473.1179999999999</v>
      </c>
    </row>
    <row r="55" spans="1:35">
      <c r="A55" s="74">
        <f t="shared" si="1"/>
        <v>54</v>
      </c>
      <c r="B55" s="69">
        <v>2000</v>
      </c>
      <c r="C55" s="69">
        <v>1</v>
      </c>
      <c r="D55" s="70">
        <v>1462.5</v>
      </c>
      <c r="E55" s="70">
        <v>573.29999999999995</v>
      </c>
      <c r="F55" s="70">
        <v>417.1</v>
      </c>
      <c r="G55" s="70">
        <v>133.9</v>
      </c>
      <c r="H55" s="70">
        <v>23.8</v>
      </c>
      <c r="I55" s="70">
        <v>21.2</v>
      </c>
      <c r="J55" s="70">
        <v>2.7</v>
      </c>
      <c r="K55" s="75">
        <v>839</v>
      </c>
      <c r="L55" s="75">
        <v>556.5</v>
      </c>
      <c r="M55" s="64">
        <v>233.5</v>
      </c>
      <c r="N55" s="75">
        <v>187.8</v>
      </c>
      <c r="O55" s="76">
        <v>56.2</v>
      </c>
      <c r="P55" s="76">
        <v>7.351</v>
      </c>
      <c r="Q55" s="75">
        <f>R55+S55</f>
        <v>28.900000000000002</v>
      </c>
      <c r="R55" s="64">
        <v>7.8</v>
      </c>
      <c r="S55" s="75">
        <v>21.1</v>
      </c>
      <c r="T55" s="70">
        <f>40.9-R55-S55</f>
        <v>12</v>
      </c>
      <c r="U55" s="64">
        <v>8.7360000000000007</v>
      </c>
      <c r="V55" s="64">
        <v>1.2709999999999999</v>
      </c>
      <c r="W55" s="64">
        <v>1.9510000000000001</v>
      </c>
      <c r="X55" s="75">
        <v>66.400000000000006</v>
      </c>
      <c r="Y55" s="64">
        <v>68</v>
      </c>
      <c r="Z55" s="64">
        <v>63</v>
      </c>
      <c r="AA55" s="95">
        <v>1.488</v>
      </c>
      <c r="AB55" s="95">
        <v>1.7250000000000001</v>
      </c>
      <c r="AC55" s="75">
        <v>111.5</v>
      </c>
      <c r="AD55" s="75">
        <v>1.4</v>
      </c>
      <c r="AE55" s="64">
        <v>69.7</v>
      </c>
      <c r="AF55" s="75">
        <v>51.2</v>
      </c>
      <c r="AG55" s="70">
        <v>1</v>
      </c>
      <c r="AH55" s="44"/>
      <c r="AI55" s="38">
        <f>HLOOKUP('Diagramm Einzelkultur'!$B$67,$A$1:$AG$77,55,FALSE)</f>
        <v>1462.5</v>
      </c>
    </row>
    <row r="56" spans="1:35">
      <c r="A56" s="47">
        <f t="shared" si="1"/>
        <v>55</v>
      </c>
      <c r="B56" s="48">
        <v>2001</v>
      </c>
      <c r="C56" s="48"/>
      <c r="D56" s="35">
        <v>1465.2860000000001</v>
      </c>
      <c r="E56" s="33">
        <v>571.87400000000002</v>
      </c>
      <c r="F56" s="33">
        <v>413.1</v>
      </c>
      <c r="G56" s="33">
        <v>137.80000000000001</v>
      </c>
      <c r="H56" s="33">
        <v>24.001000000000001</v>
      </c>
      <c r="I56" s="33">
        <v>21.588999999999999</v>
      </c>
      <c r="J56" s="33">
        <v>2.5</v>
      </c>
      <c r="K56" s="33">
        <v>842.8</v>
      </c>
      <c r="L56" s="33">
        <v>560.9</v>
      </c>
      <c r="M56" s="33">
        <v>218.4</v>
      </c>
      <c r="N56" s="33">
        <v>201.5</v>
      </c>
      <c r="O56" s="33">
        <v>61.2</v>
      </c>
      <c r="P56" s="33">
        <v>9.1</v>
      </c>
      <c r="Q56" s="33">
        <v>29.1</v>
      </c>
      <c r="R56" s="33">
        <v>6.8</v>
      </c>
      <c r="S56" s="33">
        <v>20.7</v>
      </c>
      <c r="T56" s="33">
        <v>11.3</v>
      </c>
      <c r="U56" s="33">
        <v>8.3989999999999991</v>
      </c>
      <c r="V56" s="33">
        <v>1.4179999999999999</v>
      </c>
      <c r="W56" s="33">
        <v>1.85</v>
      </c>
      <c r="X56" s="33">
        <v>71.8</v>
      </c>
      <c r="Y56" s="33">
        <v>72.099999999999994</v>
      </c>
      <c r="Z56" s="33">
        <v>65.5</v>
      </c>
      <c r="AA56" s="33">
        <v>1.5</v>
      </c>
      <c r="AB56" s="33">
        <v>1.6</v>
      </c>
      <c r="AC56" s="33">
        <v>106.9</v>
      </c>
      <c r="AD56" s="33">
        <v>1.5</v>
      </c>
      <c r="AE56" s="33">
        <v>67.599999999999994</v>
      </c>
      <c r="AF56" s="33">
        <v>52.3</v>
      </c>
      <c r="AG56" s="35">
        <v>0.9</v>
      </c>
      <c r="AH56" s="44"/>
      <c r="AI56" s="38">
        <f>HLOOKUP('Diagramm Einzelkultur'!$B$67,$A$1:$AG$77,56,FALSE)</f>
        <v>1465.2860000000001</v>
      </c>
    </row>
    <row r="57" spans="1:35">
      <c r="A57" s="47">
        <f t="shared" si="1"/>
        <v>56</v>
      </c>
      <c r="B57" s="48">
        <v>2002</v>
      </c>
      <c r="C57" s="48">
        <v>1</v>
      </c>
      <c r="D57" s="35">
        <v>1456.7</v>
      </c>
      <c r="E57" s="35">
        <v>568.20000000000005</v>
      </c>
      <c r="F57" s="35">
        <v>409.8</v>
      </c>
      <c r="G57" s="35">
        <v>137.9</v>
      </c>
      <c r="H57" s="33">
        <v>23.7</v>
      </c>
      <c r="I57" s="33">
        <v>21</v>
      </c>
      <c r="J57" s="33">
        <v>2.6</v>
      </c>
      <c r="K57" s="33">
        <v>838.5</v>
      </c>
      <c r="L57" s="33">
        <v>558.9</v>
      </c>
      <c r="M57" s="33">
        <v>222.6</v>
      </c>
      <c r="N57" s="33">
        <v>195.1</v>
      </c>
      <c r="O57" s="33">
        <v>62.7</v>
      </c>
      <c r="P57" s="33">
        <v>7.5</v>
      </c>
      <c r="Q57" s="33">
        <v>31.5</v>
      </c>
      <c r="R57" s="33">
        <v>7.9</v>
      </c>
      <c r="S57" s="33">
        <v>22.3</v>
      </c>
      <c r="T57" s="33">
        <v>11.6</v>
      </c>
      <c r="U57" s="33">
        <v>7.96</v>
      </c>
      <c r="V57" s="33">
        <v>1.593</v>
      </c>
      <c r="W57" s="33">
        <v>1.7370000000000001</v>
      </c>
      <c r="X57" s="33">
        <v>77.099999999999994</v>
      </c>
      <c r="Y57" s="33">
        <v>72.099999999999994</v>
      </c>
      <c r="Z57" s="33">
        <v>70.400000000000006</v>
      </c>
      <c r="AA57" s="33">
        <v>1.4</v>
      </c>
      <c r="AB57" s="33">
        <v>1.9</v>
      </c>
      <c r="AC57" s="33">
        <v>103.4</v>
      </c>
      <c r="AD57" s="33">
        <v>1.3</v>
      </c>
      <c r="AE57" s="33">
        <v>68.3</v>
      </c>
      <c r="AF57" s="33">
        <v>48.5</v>
      </c>
      <c r="AG57" s="35">
        <v>0.8</v>
      </c>
      <c r="AH57" s="44"/>
      <c r="AI57" s="38">
        <f>HLOOKUP('Diagramm Einzelkultur'!$B$67,$A$1:$AG$77,57,FALSE)</f>
        <v>1456.7</v>
      </c>
    </row>
    <row r="58" spans="1:35">
      <c r="A58" s="47">
        <f t="shared" si="1"/>
        <v>57</v>
      </c>
      <c r="B58" s="48">
        <v>2003</v>
      </c>
      <c r="C58" s="48"/>
      <c r="D58" s="35">
        <v>1452.682</v>
      </c>
      <c r="E58" s="33">
        <v>565.08500000000004</v>
      </c>
      <c r="F58" s="33">
        <v>399.8</v>
      </c>
      <c r="G58" s="33">
        <v>144.30000000000001</v>
      </c>
      <c r="H58" s="33">
        <v>23.986999999999998</v>
      </c>
      <c r="I58" s="33">
        <v>21.491</v>
      </c>
      <c r="J58" s="33">
        <v>2.2999999999999998</v>
      </c>
      <c r="K58" s="33">
        <v>837.5</v>
      </c>
      <c r="L58" s="33">
        <v>554.6</v>
      </c>
      <c r="M58" s="33">
        <v>206.4</v>
      </c>
      <c r="N58" s="33">
        <v>201.7</v>
      </c>
      <c r="O58" s="33">
        <v>68.2</v>
      </c>
      <c r="P58" s="33">
        <v>7.2</v>
      </c>
      <c r="Q58" s="33">
        <v>28.7</v>
      </c>
      <c r="R58" s="33">
        <v>6.8239999999999998</v>
      </c>
      <c r="S58" s="33">
        <v>20.6</v>
      </c>
      <c r="T58" s="33">
        <v>12.1</v>
      </c>
      <c r="U58" s="33">
        <v>8.3030000000000008</v>
      </c>
      <c r="V58" s="33">
        <v>1.5269999999999999</v>
      </c>
      <c r="W58" s="33">
        <v>1.887</v>
      </c>
      <c r="X58" s="33">
        <v>76.900000000000006</v>
      </c>
      <c r="Y58" s="33">
        <v>66.3</v>
      </c>
      <c r="Z58" s="33">
        <v>70.099999999999994</v>
      </c>
      <c r="AA58" s="33">
        <v>1.3</v>
      </c>
      <c r="AB58" s="33">
        <v>1.8</v>
      </c>
      <c r="AC58" s="33">
        <v>105.2</v>
      </c>
      <c r="AD58" s="33">
        <v>1.7</v>
      </c>
      <c r="AE58" s="33">
        <v>68.813999999999993</v>
      </c>
      <c r="AF58" s="33">
        <v>52.6</v>
      </c>
      <c r="AG58" s="35">
        <v>0.82799999999999996</v>
      </c>
      <c r="AH58" s="44"/>
      <c r="AI58" s="38">
        <f>HLOOKUP('Diagramm Einzelkultur'!$B$67,$A$1:$AG$77,58,FALSE)</f>
        <v>1452.682</v>
      </c>
    </row>
    <row r="59" spans="1:35">
      <c r="A59" s="47">
        <f t="shared" si="1"/>
        <v>58</v>
      </c>
      <c r="B59" s="48">
        <v>2004</v>
      </c>
      <c r="C59" s="48">
        <v>1</v>
      </c>
      <c r="D59" s="35">
        <v>1444.4</v>
      </c>
      <c r="E59" s="35">
        <v>561.70000000000005</v>
      </c>
      <c r="F59" s="35">
        <v>399.9</v>
      </c>
      <c r="G59" s="35">
        <v>141.6</v>
      </c>
      <c r="H59" s="35">
        <v>23.9</v>
      </c>
      <c r="I59" s="35">
        <v>21.5</v>
      </c>
      <c r="J59" s="35">
        <v>2.7</v>
      </c>
      <c r="K59" s="33">
        <v>832.3</v>
      </c>
      <c r="L59" s="33">
        <v>558.20000000000005</v>
      </c>
      <c r="M59" s="33">
        <v>224.3</v>
      </c>
      <c r="N59" s="33">
        <v>192.6</v>
      </c>
      <c r="O59" s="33">
        <v>68.5</v>
      </c>
      <c r="P59" s="33">
        <v>6.2</v>
      </c>
      <c r="Q59" s="33">
        <v>28.6</v>
      </c>
      <c r="R59" s="33">
        <v>6.3</v>
      </c>
      <c r="S59" s="33">
        <v>20.9</v>
      </c>
      <c r="T59" s="33">
        <v>12.6</v>
      </c>
      <c r="U59" s="33">
        <v>9.0909999999999993</v>
      </c>
      <c r="V59" s="33">
        <v>1.9990000000000001</v>
      </c>
      <c r="W59" s="33">
        <v>2.1589999999999998</v>
      </c>
      <c r="X59" s="33">
        <v>71</v>
      </c>
      <c r="Y59" s="33">
        <v>71.5</v>
      </c>
      <c r="Z59" s="33">
        <v>64.7</v>
      </c>
      <c r="AA59" s="33">
        <v>1.1000000000000001</v>
      </c>
      <c r="AB59" s="33">
        <v>1.7</v>
      </c>
      <c r="AC59" s="33">
        <v>113.9</v>
      </c>
      <c r="AD59" s="33">
        <v>2.4</v>
      </c>
      <c r="AE59" s="33">
        <v>75.099999999999994</v>
      </c>
      <c r="AF59" s="33">
        <v>41.8</v>
      </c>
      <c r="AG59" s="35">
        <v>0.8</v>
      </c>
      <c r="AH59" s="44"/>
      <c r="AI59" s="38">
        <f>HLOOKUP('Diagramm Einzelkultur'!$B$67,$A$1:$AG$77,59,FALSE)</f>
        <v>1444.4</v>
      </c>
    </row>
    <row r="60" spans="1:35">
      <c r="A60" s="47">
        <f t="shared" si="1"/>
        <v>59</v>
      </c>
      <c r="B60" s="48">
        <v>2005</v>
      </c>
      <c r="C60" s="48"/>
      <c r="D60" s="35">
        <v>1446.4639999999999</v>
      </c>
      <c r="E60" s="33">
        <v>560.24</v>
      </c>
      <c r="F60" s="33">
        <v>389.6</v>
      </c>
      <c r="G60" s="33">
        <v>149.1</v>
      </c>
      <c r="H60" s="33">
        <v>23.902000000000001</v>
      </c>
      <c r="I60" s="33">
        <v>21.405999999999999</v>
      </c>
      <c r="J60" s="33">
        <v>2.1</v>
      </c>
      <c r="K60" s="33">
        <v>838.7</v>
      </c>
      <c r="L60" s="33">
        <v>550</v>
      </c>
      <c r="M60" s="33">
        <v>223.6</v>
      </c>
      <c r="N60" s="33">
        <v>192.8</v>
      </c>
      <c r="O60" s="33">
        <v>64.8</v>
      </c>
      <c r="P60" s="33">
        <v>6.1</v>
      </c>
      <c r="Q60" s="33">
        <v>27.2</v>
      </c>
      <c r="R60" s="33">
        <v>6.4</v>
      </c>
      <c r="S60" s="33">
        <v>20</v>
      </c>
      <c r="T60" s="33">
        <v>13.5</v>
      </c>
      <c r="U60" s="33">
        <v>8.7639999999999993</v>
      </c>
      <c r="V60" s="33">
        <v>2.012</v>
      </c>
      <c r="W60" s="33">
        <v>2.4359999999999999</v>
      </c>
      <c r="X60" s="33">
        <v>76.7</v>
      </c>
      <c r="Y60" s="33">
        <v>71.7</v>
      </c>
      <c r="Z60" s="33">
        <v>69.7</v>
      </c>
      <c r="AA60" s="33">
        <v>1.3</v>
      </c>
      <c r="AB60" s="33">
        <v>1.8</v>
      </c>
      <c r="AC60" s="33">
        <v>117.7</v>
      </c>
      <c r="AD60" s="33">
        <v>5.7</v>
      </c>
      <c r="AE60" s="33">
        <v>75.400000000000006</v>
      </c>
      <c r="AF60" s="33">
        <v>47.6</v>
      </c>
      <c r="AG60" s="35">
        <v>0.81299999999999994</v>
      </c>
      <c r="AH60" s="44"/>
      <c r="AI60" s="38">
        <f>HLOOKUP('Diagramm Einzelkultur'!$B$67,$A$1:$AG$77,60,FALSE)</f>
        <v>1446.4639999999999</v>
      </c>
    </row>
    <row r="61" spans="1:35">
      <c r="A61" s="47">
        <f t="shared" si="1"/>
        <v>60</v>
      </c>
      <c r="B61" s="48">
        <v>2006</v>
      </c>
      <c r="C61" s="48">
        <v>1</v>
      </c>
      <c r="D61" s="35">
        <v>1437.2</v>
      </c>
      <c r="E61" s="35">
        <v>556.9</v>
      </c>
      <c r="F61" s="35">
        <v>386.2</v>
      </c>
      <c r="G61" s="35">
        <v>148.80000000000001</v>
      </c>
      <c r="H61" s="35">
        <v>24.1</v>
      </c>
      <c r="I61" s="35">
        <v>21.4</v>
      </c>
      <c r="J61" s="35">
        <v>2.2000000000000002</v>
      </c>
      <c r="K61" s="33">
        <v>829.8</v>
      </c>
      <c r="L61" s="33">
        <v>541.6</v>
      </c>
      <c r="M61" s="33">
        <v>227</v>
      </c>
      <c r="N61" s="33">
        <v>183.4</v>
      </c>
      <c r="O61" s="33">
        <v>61.6</v>
      </c>
      <c r="P61" s="33">
        <v>4.9000000000000004</v>
      </c>
      <c r="Q61" s="33">
        <v>24.8</v>
      </c>
      <c r="R61" s="33">
        <v>6.5</v>
      </c>
      <c r="S61" s="33">
        <v>17.7</v>
      </c>
      <c r="T61" s="33">
        <v>14.5</v>
      </c>
      <c r="U61" s="33">
        <v>8.577</v>
      </c>
      <c r="V61" s="33">
        <v>2.1059999999999999</v>
      </c>
      <c r="W61" s="33">
        <v>2.593</v>
      </c>
      <c r="X61" s="33">
        <v>75.599999999999994</v>
      </c>
      <c r="Y61" s="33">
        <v>73.099999999999994</v>
      </c>
      <c r="Z61" s="33">
        <v>70</v>
      </c>
      <c r="AA61" s="33">
        <v>1.2</v>
      </c>
      <c r="AB61" s="33">
        <v>1.5</v>
      </c>
      <c r="AC61" s="33">
        <v>123.1</v>
      </c>
      <c r="AD61" s="33">
        <v>5.9</v>
      </c>
      <c r="AE61" s="33">
        <v>79.900000000000006</v>
      </c>
      <c r="AF61" s="33">
        <v>45.3</v>
      </c>
      <c r="AG61" s="35">
        <v>0.7</v>
      </c>
      <c r="AH61" s="44"/>
      <c r="AI61" s="38">
        <f>HLOOKUP('Diagramm Einzelkultur'!$B$67,$A$1:$AG$77,61,FALSE)</f>
        <v>1437.2</v>
      </c>
    </row>
    <row r="62" spans="1:35">
      <c r="A62" s="47">
        <f t="shared" si="1"/>
        <v>61</v>
      </c>
      <c r="B62" s="48">
        <v>2007</v>
      </c>
      <c r="C62" s="48"/>
      <c r="D62" s="35">
        <v>1435.682</v>
      </c>
      <c r="E62" s="33">
        <v>551.39700000000005</v>
      </c>
      <c r="F62" s="33">
        <v>381.8</v>
      </c>
      <c r="G62" s="33">
        <v>147.6</v>
      </c>
      <c r="H62" s="33">
        <v>23.922999999999998</v>
      </c>
      <c r="I62" s="33">
        <v>21.343</v>
      </c>
      <c r="J62" s="33">
        <v>1.9</v>
      </c>
      <c r="K62" s="33">
        <v>834.53499999999997</v>
      </c>
      <c r="L62" s="33">
        <v>541</v>
      </c>
      <c r="M62" s="33">
        <v>224.6</v>
      </c>
      <c r="N62" s="33">
        <v>187.6</v>
      </c>
      <c r="O62" s="33">
        <v>59.3</v>
      </c>
      <c r="P62" s="33">
        <v>4.0999999999999996</v>
      </c>
      <c r="Q62" s="33">
        <v>24.8</v>
      </c>
      <c r="R62" s="33">
        <v>5.9480000000000004</v>
      </c>
      <c r="S62" s="33">
        <v>18.7</v>
      </c>
      <c r="T62" s="33">
        <v>12.3</v>
      </c>
      <c r="U62" s="33">
        <v>8.1820000000000004</v>
      </c>
      <c r="V62" s="33">
        <v>2.1280000000000001</v>
      </c>
      <c r="W62" s="33">
        <v>2.3380000000000001</v>
      </c>
      <c r="X62" s="33">
        <v>78.5</v>
      </c>
      <c r="Y62" s="33">
        <v>72.900000000000006</v>
      </c>
      <c r="Z62" s="33">
        <v>72.900000000000006</v>
      </c>
      <c r="AA62" s="33">
        <v>1.3</v>
      </c>
      <c r="AB62" s="33">
        <v>1.4</v>
      </c>
      <c r="AC62" s="33">
        <v>133.9</v>
      </c>
      <c r="AD62" s="33">
        <v>8.1</v>
      </c>
      <c r="AE62" s="33">
        <v>89.063999999999993</v>
      </c>
      <c r="AF62" s="33">
        <v>39.9</v>
      </c>
      <c r="AG62" s="35">
        <v>0.68600000000000005</v>
      </c>
      <c r="AH62" s="44"/>
      <c r="AI62" s="38">
        <f>HLOOKUP('Diagramm Einzelkultur'!$B$67,$A$1:$AG$77,62,FALSE)</f>
        <v>1435.682</v>
      </c>
    </row>
    <row r="63" spans="1:35">
      <c r="A63" s="47">
        <f t="shared" si="1"/>
        <v>62</v>
      </c>
      <c r="B63" s="48">
        <v>2008</v>
      </c>
      <c r="C63" s="48">
        <v>1</v>
      </c>
      <c r="D63" s="35">
        <v>1440.5</v>
      </c>
      <c r="E63" s="35">
        <v>551.1</v>
      </c>
      <c r="F63" s="35">
        <v>376.7</v>
      </c>
      <c r="G63" s="35">
        <v>151.9</v>
      </c>
      <c r="H63" s="35">
        <v>24.2</v>
      </c>
      <c r="I63" s="35">
        <v>21.4</v>
      </c>
      <c r="J63" s="35">
        <v>1.8</v>
      </c>
      <c r="K63" s="33">
        <v>838.8</v>
      </c>
      <c r="L63" s="33">
        <v>571</v>
      </c>
      <c r="M63" s="33">
        <v>236</v>
      </c>
      <c r="N63" s="33">
        <v>192.6</v>
      </c>
      <c r="O63" s="33">
        <v>72.2</v>
      </c>
      <c r="P63" s="33">
        <v>3.2</v>
      </c>
      <c r="Q63" s="33">
        <v>23.3</v>
      </c>
      <c r="R63" s="33">
        <v>5.5</v>
      </c>
      <c r="S63" s="33">
        <v>17.3</v>
      </c>
      <c r="T63" s="33">
        <v>13.6</v>
      </c>
      <c r="U63" s="33">
        <v>9.5050000000000008</v>
      </c>
      <c r="V63" s="33">
        <v>2.169</v>
      </c>
      <c r="W63" s="33">
        <v>2.4649999999999999</v>
      </c>
      <c r="X63" s="33">
        <v>77.7</v>
      </c>
      <c r="Y63" s="33">
        <v>78.7</v>
      </c>
      <c r="Z63" s="33">
        <v>71.8</v>
      </c>
      <c r="AA63" s="33">
        <v>1.3</v>
      </c>
      <c r="AB63" s="33">
        <v>1.5</v>
      </c>
      <c r="AC63" s="33">
        <v>134.30000000000001</v>
      </c>
      <c r="AD63" s="33">
        <v>10.4</v>
      </c>
      <c r="AE63" s="33">
        <v>88.5</v>
      </c>
      <c r="AF63" s="33">
        <v>15.7</v>
      </c>
      <c r="AG63" s="35">
        <v>0.7</v>
      </c>
      <c r="AH63" s="44"/>
      <c r="AI63" s="38">
        <f>HLOOKUP('Diagramm Einzelkultur'!$B$67,$A$1:$AG$77,63,FALSE)</f>
        <v>1440.5</v>
      </c>
    </row>
    <row r="64" spans="1:35" ht="13.5" thickBot="1">
      <c r="A64" s="47">
        <f t="shared" si="1"/>
        <v>63</v>
      </c>
      <c r="B64" s="72">
        <v>2009</v>
      </c>
      <c r="C64" s="72">
        <v>1</v>
      </c>
      <c r="D64" s="73">
        <v>1432.8</v>
      </c>
      <c r="E64" s="73">
        <v>545.29999999999995</v>
      </c>
      <c r="F64" s="73">
        <v>380.5</v>
      </c>
      <c r="G64" s="73">
        <v>142.4</v>
      </c>
      <c r="H64" s="73">
        <v>24</v>
      </c>
      <c r="I64" s="73">
        <v>21.1</v>
      </c>
      <c r="J64" s="73">
        <v>1.9</v>
      </c>
      <c r="K64" s="68">
        <v>837.7</v>
      </c>
      <c r="L64" s="68">
        <v>555</v>
      </c>
      <c r="M64" s="68">
        <v>238.3</v>
      </c>
      <c r="N64" s="68">
        <v>179.3</v>
      </c>
      <c r="O64" s="68">
        <v>71.400000000000006</v>
      </c>
      <c r="P64" s="68">
        <v>3.9</v>
      </c>
      <c r="Q64" s="68">
        <v>24.3</v>
      </c>
      <c r="R64" s="68">
        <v>5.9</v>
      </c>
      <c r="S64" s="68">
        <v>17.899999999999999</v>
      </c>
      <c r="T64" s="68">
        <v>13.3</v>
      </c>
      <c r="U64" s="68">
        <v>9.3490000000000002</v>
      </c>
      <c r="V64" s="68">
        <v>2.149</v>
      </c>
      <c r="W64" s="68">
        <v>2.375</v>
      </c>
      <c r="X64" s="68">
        <v>83.6</v>
      </c>
      <c r="Y64" s="68">
        <v>71.2</v>
      </c>
      <c r="Z64" s="68">
        <v>75.7</v>
      </c>
      <c r="AA64" s="68">
        <v>1.2</v>
      </c>
      <c r="AB64" s="68">
        <v>1.6</v>
      </c>
      <c r="AC64" s="68">
        <v>142.5</v>
      </c>
      <c r="AD64" s="68">
        <v>11.4</v>
      </c>
      <c r="AE64" s="68">
        <v>94</v>
      </c>
      <c r="AF64" s="68">
        <v>15.1</v>
      </c>
      <c r="AG64" s="73">
        <v>0.7</v>
      </c>
      <c r="AH64" s="44"/>
      <c r="AI64" s="38">
        <f>HLOOKUP('Diagramm Einzelkultur'!$B$67,$A$1:$AG$77,64,FALSE)</f>
        <v>1432.8</v>
      </c>
    </row>
    <row r="65" spans="1:35">
      <c r="A65" s="37">
        <f t="shared" si="1"/>
        <v>64</v>
      </c>
      <c r="B65" s="86">
        <v>2010</v>
      </c>
      <c r="C65" s="86"/>
      <c r="D65" s="71">
        <v>1410</v>
      </c>
      <c r="E65" s="87">
        <v>531.69200000000001</v>
      </c>
      <c r="F65" s="87">
        <v>357.9</v>
      </c>
      <c r="G65" s="87">
        <v>142.69999999999999</v>
      </c>
      <c r="H65" s="87">
        <v>23.681999999999999</v>
      </c>
      <c r="I65" s="87">
        <v>21.067</v>
      </c>
      <c r="J65" s="87">
        <v>1.8</v>
      </c>
      <c r="K65" s="87">
        <v>829.3</v>
      </c>
      <c r="L65" s="87">
        <v>529.29999999999995</v>
      </c>
      <c r="M65" s="87">
        <v>238.5</v>
      </c>
      <c r="N65" s="87">
        <v>158.5</v>
      </c>
      <c r="O65" s="87">
        <v>71.599999999999994</v>
      </c>
      <c r="P65" s="87">
        <v>5.4</v>
      </c>
      <c r="Q65" s="87">
        <v>21.4</v>
      </c>
      <c r="R65" s="87">
        <v>5.3579999999999997</v>
      </c>
      <c r="S65" s="87">
        <v>15.7</v>
      </c>
      <c r="T65" s="87">
        <v>13.964</v>
      </c>
      <c r="U65" s="87">
        <v>9.0860000000000003</v>
      </c>
      <c r="V65" s="87">
        <v>2.4009999999999998</v>
      </c>
      <c r="W65" s="87">
        <v>2.4369999999999998</v>
      </c>
      <c r="X65" s="87">
        <v>74.5</v>
      </c>
      <c r="Y65" s="87">
        <v>71.150999999999996</v>
      </c>
      <c r="Z65" s="87">
        <v>68.2</v>
      </c>
      <c r="AA65" s="87">
        <v>1.2490000000000001</v>
      </c>
      <c r="AB65" s="87">
        <v>0.9</v>
      </c>
      <c r="AC65" s="87">
        <v>167.1</v>
      </c>
      <c r="AD65" s="87">
        <v>12.2</v>
      </c>
      <c r="AE65" s="87">
        <v>107.652</v>
      </c>
      <c r="AF65" s="87">
        <v>16.600000000000001</v>
      </c>
      <c r="AG65" s="71">
        <v>0.5</v>
      </c>
      <c r="AH65" s="44"/>
      <c r="AI65" s="38">
        <f>HLOOKUP('Diagramm Einzelkultur'!$B$67,$A$1:$AG$77,65,FALSE)</f>
        <v>1410</v>
      </c>
    </row>
    <row r="66" spans="1:35">
      <c r="A66" s="47">
        <f t="shared" ref="A66:A74" si="2">A65+1</f>
        <v>65</v>
      </c>
      <c r="B66" s="48">
        <v>2011</v>
      </c>
      <c r="C66" s="48">
        <v>1</v>
      </c>
      <c r="D66" s="35">
        <v>1417.6</v>
      </c>
      <c r="E66" s="35">
        <v>535.70000000000005</v>
      </c>
      <c r="F66" s="35">
        <v>360.1</v>
      </c>
      <c r="G66" s="35">
        <v>142.9</v>
      </c>
      <c r="H66" s="35">
        <v>24</v>
      </c>
      <c r="I66" s="35">
        <v>21.7</v>
      </c>
      <c r="J66" s="35">
        <v>1.7</v>
      </c>
      <c r="K66" s="33">
        <v>831.6</v>
      </c>
      <c r="L66" s="33">
        <v>525.6</v>
      </c>
      <c r="M66" s="33">
        <v>236.1</v>
      </c>
      <c r="N66" s="33">
        <f>93.1+64.7</f>
        <v>157.80000000000001</v>
      </c>
      <c r="O66" s="33">
        <v>72.900000000000006</v>
      </c>
      <c r="P66" s="33">
        <v>5.2</v>
      </c>
      <c r="Q66" s="33">
        <v>23.9</v>
      </c>
      <c r="R66" s="33">
        <v>5.7</v>
      </c>
      <c r="S66" s="33">
        <v>17.8</v>
      </c>
      <c r="T66" s="33">
        <v>13.8</v>
      </c>
      <c r="U66" s="35">
        <v>9.5340000000000007</v>
      </c>
      <c r="V66" s="35">
        <v>2.4</v>
      </c>
      <c r="W66" s="35">
        <v>2.597</v>
      </c>
      <c r="X66" s="33">
        <v>71.5</v>
      </c>
      <c r="Y66" s="35">
        <v>67.599999999999994</v>
      </c>
      <c r="Z66" s="33">
        <v>64.5</v>
      </c>
      <c r="AA66" s="33">
        <v>1.1910000000000001</v>
      </c>
      <c r="AB66" s="94" t="s">
        <v>51</v>
      </c>
      <c r="AC66" s="33">
        <v>176.7</v>
      </c>
      <c r="AD66" s="33">
        <v>12.9</v>
      </c>
      <c r="AE66" s="33">
        <v>109.1</v>
      </c>
      <c r="AF66" s="33">
        <v>14</v>
      </c>
      <c r="AG66" s="35">
        <v>0.5</v>
      </c>
      <c r="AH66" s="44"/>
      <c r="AI66" s="38">
        <f>HLOOKUP('Diagramm Einzelkultur'!$B$67,$A$1:$AG$77,66,FALSE)</f>
        <v>1417.6</v>
      </c>
    </row>
    <row r="67" spans="1:35">
      <c r="A67" s="30">
        <f t="shared" si="2"/>
        <v>66</v>
      </c>
      <c r="B67" s="31">
        <v>2012</v>
      </c>
      <c r="C67" s="31">
        <v>1</v>
      </c>
      <c r="D67" s="34">
        <v>1420.7</v>
      </c>
      <c r="E67" s="34">
        <v>539.79999999999995</v>
      </c>
      <c r="F67" s="34">
        <v>361</v>
      </c>
      <c r="G67" s="34">
        <v>142.80000000000001</v>
      </c>
      <c r="H67" s="35">
        <v>24.3</v>
      </c>
      <c r="I67" s="35">
        <v>21.6</v>
      </c>
      <c r="J67" s="35">
        <v>1.7</v>
      </c>
      <c r="K67" s="34">
        <v>830.3</v>
      </c>
      <c r="L67" s="34">
        <v>522.9</v>
      </c>
      <c r="M67" s="34">
        <v>214.8</v>
      </c>
      <c r="N67" s="34">
        <v>166.6</v>
      </c>
      <c r="O67" s="34">
        <v>74.7</v>
      </c>
      <c r="P67" s="34">
        <v>4.4000000000000004</v>
      </c>
      <c r="Q67" s="34">
        <v>24</v>
      </c>
      <c r="R67" s="34">
        <v>5.5</v>
      </c>
      <c r="S67" s="34">
        <v>18.100000000000001</v>
      </c>
      <c r="T67" s="34">
        <v>15.2</v>
      </c>
      <c r="U67" s="35">
        <v>10.584</v>
      </c>
      <c r="V67" s="35">
        <v>2.48</v>
      </c>
      <c r="W67" s="35">
        <v>2.8039999999999998</v>
      </c>
      <c r="X67" s="34">
        <v>66.5</v>
      </c>
      <c r="Y67" s="35">
        <v>63.5</v>
      </c>
      <c r="Z67" s="35">
        <v>59.3</v>
      </c>
      <c r="AA67" s="34">
        <v>1.3360000000000001</v>
      </c>
      <c r="AB67" s="94" t="s">
        <v>51</v>
      </c>
      <c r="AC67" s="34">
        <v>183.1</v>
      </c>
      <c r="AD67" s="34">
        <v>13</v>
      </c>
      <c r="AE67" s="34">
        <v>120.4</v>
      </c>
      <c r="AF67" s="34">
        <v>13.8</v>
      </c>
      <c r="AG67" s="35">
        <v>0.5</v>
      </c>
      <c r="AH67" s="44"/>
      <c r="AI67" s="38">
        <f>HLOOKUP('Diagramm Einzelkultur'!$B$67,$A$1:$AG$77,67,FALSE)</f>
        <v>1420.7</v>
      </c>
    </row>
    <row r="68" spans="1:35">
      <c r="A68" s="30">
        <f t="shared" si="2"/>
        <v>67</v>
      </c>
      <c r="B68" s="31">
        <v>2013</v>
      </c>
      <c r="C68" s="31"/>
      <c r="D68" s="34">
        <v>1422.5</v>
      </c>
      <c r="E68" s="34">
        <v>538.1</v>
      </c>
      <c r="F68" s="34">
        <v>366.1</v>
      </c>
      <c r="G68" s="34">
        <v>137.5</v>
      </c>
      <c r="H68" s="34">
        <v>24.5</v>
      </c>
      <c r="I68" s="34">
        <v>21.1</v>
      </c>
      <c r="J68" s="34">
        <v>1.8</v>
      </c>
      <c r="K68" s="34">
        <v>834.2</v>
      </c>
      <c r="L68" s="34">
        <v>531.9</v>
      </c>
      <c r="M68" s="34">
        <v>237.7</v>
      </c>
      <c r="N68" s="34">
        <v>155.4</v>
      </c>
      <c r="O68" s="34">
        <v>76.400000000000006</v>
      </c>
      <c r="P68" s="34">
        <v>4.8</v>
      </c>
      <c r="Q68" s="34">
        <v>20.6</v>
      </c>
      <c r="R68" s="34">
        <v>5.3</v>
      </c>
      <c r="S68" s="34">
        <v>15.1</v>
      </c>
      <c r="T68" s="34">
        <v>15.4</v>
      </c>
      <c r="U68" s="34">
        <v>14.1</v>
      </c>
      <c r="V68" s="96">
        <v>2.6070000000000002</v>
      </c>
      <c r="W68" s="96">
        <v>2.8969999999999998</v>
      </c>
      <c r="X68" s="34">
        <v>67.8</v>
      </c>
      <c r="Y68" s="34">
        <v>64.2</v>
      </c>
      <c r="Z68" s="34">
        <v>60.2</v>
      </c>
      <c r="AA68" s="34">
        <v>1.3</v>
      </c>
      <c r="AB68" s="94" t="s">
        <v>51</v>
      </c>
      <c r="AC68" s="34">
        <v>180.5</v>
      </c>
      <c r="AD68" s="34">
        <v>11.8</v>
      </c>
      <c r="AE68" s="34">
        <v>118.4</v>
      </c>
      <c r="AF68" s="34">
        <v>11.8</v>
      </c>
      <c r="AG68" s="42">
        <v>0.5</v>
      </c>
      <c r="AI68" s="38">
        <f>HLOOKUP('Diagramm Einzelkultur'!$B$67,$A$1:$AG$77,68,FALSE)</f>
        <v>1422.5</v>
      </c>
    </row>
    <row r="69" spans="1:35">
      <c r="A69" s="30">
        <f t="shared" si="2"/>
        <v>68</v>
      </c>
      <c r="B69" s="31">
        <v>2014</v>
      </c>
      <c r="C69" s="31"/>
      <c r="D69" s="34">
        <v>1422</v>
      </c>
      <c r="E69" s="34">
        <v>549.29999999999995</v>
      </c>
      <c r="F69" s="34">
        <v>368.2</v>
      </c>
      <c r="G69" s="34">
        <v>145.4</v>
      </c>
      <c r="H69" s="34">
        <v>24.9</v>
      </c>
      <c r="I69" s="34">
        <v>21.2</v>
      </c>
      <c r="J69" s="34">
        <v>1.8</v>
      </c>
      <c r="K69" s="34">
        <v>822.2</v>
      </c>
      <c r="L69" s="34">
        <v>518.79999999999995</v>
      </c>
      <c r="M69" s="34">
        <v>232.2</v>
      </c>
      <c r="N69" s="34">
        <v>153.9</v>
      </c>
      <c r="O69" s="34">
        <v>74.7</v>
      </c>
      <c r="P69" s="34">
        <v>5.0999999999999996</v>
      </c>
      <c r="Q69" s="34">
        <v>21.7</v>
      </c>
      <c r="R69" s="34">
        <v>5.7</v>
      </c>
      <c r="S69" s="34">
        <v>15.8</v>
      </c>
      <c r="T69" s="34">
        <v>14.9</v>
      </c>
      <c r="U69" s="34">
        <v>13.6</v>
      </c>
      <c r="V69" s="140">
        <v>2.8</v>
      </c>
      <c r="W69" s="34">
        <v>2.6</v>
      </c>
      <c r="X69" s="34">
        <v>60.6</v>
      </c>
      <c r="Y69" s="34">
        <v>57.7</v>
      </c>
      <c r="Z69" s="34">
        <v>53.4</v>
      </c>
      <c r="AA69" s="34">
        <v>1.1000000000000001</v>
      </c>
      <c r="AB69" s="94">
        <v>0.79700000000000004</v>
      </c>
      <c r="AC69" s="34">
        <v>187.5</v>
      </c>
      <c r="AD69" s="34">
        <v>12.4</v>
      </c>
      <c r="AE69" s="34">
        <v>125.4</v>
      </c>
      <c r="AF69" s="34">
        <v>12.1</v>
      </c>
      <c r="AG69" s="42">
        <v>0.4</v>
      </c>
      <c r="AI69" s="38">
        <f>HLOOKUP('Diagramm Einzelkultur'!$B$67,$A$1:$AG$77,69,FALSE)</f>
        <v>1422</v>
      </c>
    </row>
    <row r="70" spans="1:35">
      <c r="A70" s="30">
        <f t="shared" si="2"/>
        <v>69</v>
      </c>
      <c r="B70" s="31">
        <v>2015</v>
      </c>
      <c r="C70" s="31"/>
      <c r="D70" s="34">
        <v>1424.1</v>
      </c>
      <c r="E70" s="34">
        <v>548.29999999999995</v>
      </c>
      <c r="F70" s="34">
        <v>360.2</v>
      </c>
      <c r="G70" s="34">
        <v>152.80000000000001</v>
      </c>
      <c r="H70" s="34">
        <v>24.2</v>
      </c>
      <c r="I70" s="34">
        <v>21.2</v>
      </c>
      <c r="J70" s="34">
        <v>2</v>
      </c>
      <c r="K70" s="34">
        <v>825.6</v>
      </c>
      <c r="L70" s="34">
        <v>513.20000000000005</v>
      </c>
      <c r="M70" s="34">
        <v>238.6</v>
      </c>
      <c r="N70" s="34">
        <v>151.5</v>
      </c>
      <c r="O70" s="34">
        <v>69</v>
      </c>
      <c r="P70" s="34">
        <v>10.1</v>
      </c>
      <c r="Q70" s="34">
        <v>19.2</v>
      </c>
      <c r="R70" s="34">
        <v>4.7</v>
      </c>
      <c r="S70" s="34">
        <v>14.2</v>
      </c>
      <c r="T70" s="34">
        <v>15.4</v>
      </c>
      <c r="U70" s="34">
        <v>14.3</v>
      </c>
      <c r="V70" s="141">
        <v>2.8</v>
      </c>
      <c r="W70" s="35">
        <v>2.7</v>
      </c>
      <c r="X70" s="34">
        <v>58.5</v>
      </c>
      <c r="Y70" s="34">
        <v>53.5</v>
      </c>
      <c r="Z70" s="34">
        <v>45.9</v>
      </c>
      <c r="AA70" s="34">
        <v>1.2</v>
      </c>
      <c r="AB70" s="94">
        <v>0.82899999999999996</v>
      </c>
      <c r="AC70" s="34">
        <v>186.5</v>
      </c>
      <c r="AD70" s="34">
        <v>9.1999999999999993</v>
      </c>
      <c r="AE70" s="34">
        <v>129.69999999999999</v>
      </c>
      <c r="AF70" s="34">
        <v>21.7</v>
      </c>
      <c r="AG70" s="42">
        <v>0.5</v>
      </c>
      <c r="AI70" s="38">
        <f>HLOOKUP('Diagramm Einzelkultur'!$B$67,$A$1:$AG$77,70,FALSE)</f>
        <v>1424.1</v>
      </c>
    </row>
    <row r="71" spans="1:35">
      <c r="A71" s="30">
        <f t="shared" si="2"/>
        <v>70</v>
      </c>
      <c r="B71" s="31">
        <v>2016</v>
      </c>
      <c r="C71" s="31"/>
      <c r="D71" s="34">
        <v>1415.98</v>
      </c>
      <c r="E71" s="34">
        <v>545.26900000000001</v>
      </c>
      <c r="F71" s="34">
        <v>360.09500000000003</v>
      </c>
      <c r="G71" s="34">
        <v>151.036</v>
      </c>
      <c r="H71" s="119">
        <v>24.952000000000002</v>
      </c>
      <c r="I71" s="34">
        <v>21.491</v>
      </c>
      <c r="J71" s="34">
        <v>1.7809999999999999</v>
      </c>
      <c r="K71" s="34">
        <v>819.63300000000004</v>
      </c>
      <c r="L71" s="34">
        <v>491.42599999999999</v>
      </c>
      <c r="M71" s="34">
        <v>230.58099999999999</v>
      </c>
      <c r="N71" s="34">
        <v>144.399</v>
      </c>
      <c r="O71" s="34">
        <v>63.551000000000002</v>
      </c>
      <c r="P71" s="34">
        <v>17.54</v>
      </c>
      <c r="Q71" s="34">
        <v>21.218</v>
      </c>
      <c r="R71" s="34">
        <v>5.4</v>
      </c>
      <c r="S71" s="34">
        <v>15.577</v>
      </c>
      <c r="T71" s="34">
        <v>15.164</v>
      </c>
      <c r="U71" s="34">
        <v>13.85</v>
      </c>
      <c r="V71" s="119">
        <v>2.7869999999999999</v>
      </c>
      <c r="W71" s="119">
        <v>2.3679999999999999</v>
      </c>
      <c r="X71" s="34">
        <v>54.542000000000002</v>
      </c>
      <c r="Y71" s="34">
        <v>49.807000000000002</v>
      </c>
      <c r="Z71" s="34">
        <v>48.457000000000001</v>
      </c>
      <c r="AA71" s="34">
        <v>1.28</v>
      </c>
      <c r="AB71" s="119">
        <v>0.878</v>
      </c>
      <c r="AC71" s="34">
        <v>196.29</v>
      </c>
      <c r="AD71" s="34">
        <v>10.868</v>
      </c>
      <c r="AE71" s="34">
        <v>134.392</v>
      </c>
      <c r="AF71" s="34">
        <v>22.445</v>
      </c>
      <c r="AG71" s="42">
        <v>0.32500000000000001</v>
      </c>
      <c r="AI71" s="38">
        <f>HLOOKUP('Diagramm Einzelkultur'!$B$67,$A$1:$AG$77,71,FALSE)</f>
        <v>1415.98</v>
      </c>
    </row>
    <row r="72" spans="1:35">
      <c r="A72" s="30">
        <f t="shared" si="2"/>
        <v>71</v>
      </c>
      <c r="B72" s="31">
        <v>2017</v>
      </c>
      <c r="C72" s="31"/>
      <c r="D72" s="34">
        <v>1418.5</v>
      </c>
      <c r="E72" s="34">
        <v>549.20000000000005</v>
      </c>
      <c r="F72" s="34">
        <v>362</v>
      </c>
      <c r="G72" s="34">
        <v>154.19999999999999</v>
      </c>
      <c r="H72" s="34">
        <v>24.7</v>
      </c>
      <c r="I72" s="34">
        <v>20.9</v>
      </c>
      <c r="J72" s="34">
        <v>1.8</v>
      </c>
      <c r="K72" s="34">
        <v>819</v>
      </c>
      <c r="L72" s="34">
        <v>476.6</v>
      </c>
      <c r="M72" s="34">
        <v>219.6</v>
      </c>
      <c r="N72" s="34">
        <v>140.30000000000001</v>
      </c>
      <c r="O72" s="34">
        <v>62.3</v>
      </c>
      <c r="P72" s="34">
        <v>18.8</v>
      </c>
      <c r="Q72" s="34">
        <v>25.8</v>
      </c>
      <c r="R72" s="34">
        <v>5</v>
      </c>
      <c r="S72" s="34">
        <v>20.6</v>
      </c>
      <c r="T72" s="34">
        <v>15.4</v>
      </c>
      <c r="U72" s="34">
        <v>14.1</v>
      </c>
      <c r="V72" s="34">
        <v>2.78</v>
      </c>
      <c r="W72" s="34">
        <v>2.2949999999999999</v>
      </c>
      <c r="X72" s="34">
        <v>56.4</v>
      </c>
      <c r="Y72" s="34">
        <v>50.3</v>
      </c>
      <c r="Z72" s="34">
        <v>48.8</v>
      </c>
      <c r="AA72" s="34">
        <v>1.353</v>
      </c>
      <c r="AB72" s="119" t="s">
        <v>44</v>
      </c>
      <c r="AC72" s="34">
        <v>202.9</v>
      </c>
      <c r="AD72" s="34">
        <v>11.6</v>
      </c>
      <c r="AE72" s="34">
        <v>136.19999999999999</v>
      </c>
      <c r="AF72" s="34">
        <v>24</v>
      </c>
      <c r="AG72" s="42">
        <v>0.3</v>
      </c>
      <c r="AI72" s="38">
        <f>HLOOKUP('Diagramm Einzelkultur'!$B$67,$A$1:$AG$77,72,FALSE)</f>
        <v>1418.5</v>
      </c>
    </row>
    <row r="73" spans="1:35">
      <c r="A73" s="30">
        <f t="shared" si="2"/>
        <v>72</v>
      </c>
      <c r="B73" s="31">
        <v>2018</v>
      </c>
      <c r="C73" s="31"/>
      <c r="D73" s="34">
        <v>1413.4</v>
      </c>
      <c r="E73" s="34">
        <v>547.9</v>
      </c>
      <c r="F73" s="34">
        <v>362</v>
      </c>
      <c r="G73" s="34">
        <v>152.30000000000001</v>
      </c>
      <c r="H73" s="34">
        <v>25.5</v>
      </c>
      <c r="I73" s="34">
        <v>21.1</v>
      </c>
      <c r="J73" s="34">
        <v>1.5</v>
      </c>
      <c r="K73" s="34">
        <v>814.6</v>
      </c>
      <c r="L73" s="34">
        <v>472.9</v>
      </c>
      <c r="M73" s="34">
        <v>215.5</v>
      </c>
      <c r="N73" s="34">
        <v>145.80000000000001</v>
      </c>
      <c r="O73" s="34">
        <v>63.3</v>
      </c>
      <c r="P73" s="34">
        <v>16.600000000000001</v>
      </c>
      <c r="Q73" s="34">
        <v>26.3</v>
      </c>
      <c r="R73" s="34">
        <v>4.8</v>
      </c>
      <c r="S73" s="34">
        <v>21.4</v>
      </c>
      <c r="T73" s="34">
        <v>15.6</v>
      </c>
      <c r="U73" s="34">
        <v>14.3</v>
      </c>
      <c r="V73" s="141">
        <v>2.9</v>
      </c>
      <c r="W73" s="35">
        <v>2.1</v>
      </c>
      <c r="X73" s="34">
        <v>57.6</v>
      </c>
      <c r="Y73" s="34">
        <v>52</v>
      </c>
      <c r="Z73" s="34">
        <v>50.7</v>
      </c>
      <c r="AA73" s="34">
        <v>1.397</v>
      </c>
      <c r="AB73" s="34">
        <v>0.5</v>
      </c>
      <c r="AC73" s="34">
        <v>196.8</v>
      </c>
      <c r="AD73" s="34">
        <v>11.7</v>
      </c>
      <c r="AE73" s="34">
        <v>130.5</v>
      </c>
      <c r="AF73" s="34">
        <v>27.6</v>
      </c>
      <c r="AG73" s="42">
        <v>0.3</v>
      </c>
      <c r="AI73" s="38">
        <f>HLOOKUP('Diagramm Einzelkultur'!$B$67,$A$1:$AG$77,73,FALSE)</f>
        <v>1413.4</v>
      </c>
    </row>
    <row r="74" spans="1:35">
      <c r="A74" s="30">
        <f t="shared" si="2"/>
        <v>73</v>
      </c>
      <c r="B74" s="31">
        <v>2019</v>
      </c>
      <c r="C74" s="31"/>
      <c r="D74" s="34">
        <v>1418.5</v>
      </c>
      <c r="E74" s="34">
        <v>551.70000000000005</v>
      </c>
      <c r="F74" s="34">
        <v>363.6</v>
      </c>
      <c r="G74" s="34">
        <v>153</v>
      </c>
      <c r="H74" s="34">
        <v>25.2</v>
      </c>
      <c r="I74" s="34">
        <v>21.3</v>
      </c>
      <c r="J74" s="34">
        <v>1.5</v>
      </c>
      <c r="K74" s="34">
        <v>816.1</v>
      </c>
      <c r="L74" s="34">
        <v>474.7</v>
      </c>
      <c r="M74" s="34">
        <v>216.2</v>
      </c>
      <c r="N74" s="34">
        <v>150.30000000000001</v>
      </c>
      <c r="O74" s="34">
        <v>56.6</v>
      </c>
      <c r="P74" s="34">
        <v>17.5</v>
      </c>
      <c r="Q74" s="34">
        <v>25.6</v>
      </c>
      <c r="R74" s="34">
        <v>5.7</v>
      </c>
      <c r="S74" s="34">
        <v>19.7</v>
      </c>
      <c r="T74" s="34">
        <v>15.2</v>
      </c>
      <c r="U74" s="34">
        <v>13.9</v>
      </c>
      <c r="V74" s="141">
        <v>2.8</v>
      </c>
      <c r="W74" s="35">
        <v>1.8</v>
      </c>
      <c r="X74" s="34">
        <v>47.6</v>
      </c>
      <c r="Y74" s="34">
        <v>41</v>
      </c>
      <c r="Z74" s="34">
        <v>39.1</v>
      </c>
      <c r="AA74" s="34">
        <v>1.6</v>
      </c>
      <c r="AB74" s="34" t="s">
        <v>44</v>
      </c>
      <c r="AC74" s="34">
        <v>206</v>
      </c>
      <c r="AD74" s="34">
        <v>13</v>
      </c>
      <c r="AE74" s="34">
        <v>136.19999999999999</v>
      </c>
      <c r="AF74" s="34">
        <v>28.2</v>
      </c>
      <c r="AG74" s="42">
        <v>0.3</v>
      </c>
      <c r="AI74" s="38">
        <f>HLOOKUP('Diagramm Einzelkultur'!$B$67,$A$1:$AG$77,74,FALSE)</f>
        <v>1418.5</v>
      </c>
    </row>
    <row r="75" spans="1:35">
      <c r="A75" s="30">
        <v>74</v>
      </c>
      <c r="B75" s="31">
        <v>2020</v>
      </c>
      <c r="C75" s="31"/>
      <c r="D75" s="34">
        <v>1408.1</v>
      </c>
      <c r="E75" s="34">
        <v>546.70000000000005</v>
      </c>
      <c r="F75" s="34">
        <v>360.1</v>
      </c>
      <c r="G75" s="34">
        <v>152.69999999999999</v>
      </c>
      <c r="H75" s="34">
        <v>25.5</v>
      </c>
      <c r="I75" s="34">
        <v>21.1</v>
      </c>
      <c r="J75" s="34">
        <v>1.5</v>
      </c>
      <c r="K75" s="34">
        <v>810.3</v>
      </c>
      <c r="L75" s="34">
        <v>466.8</v>
      </c>
      <c r="M75" s="34">
        <v>207.7</v>
      </c>
      <c r="N75" s="34">
        <v>147.80000000000001</v>
      </c>
      <c r="O75" s="34">
        <v>60.2</v>
      </c>
      <c r="P75" s="34">
        <v>18.899999999999999</v>
      </c>
      <c r="Q75" s="34">
        <v>24.4</v>
      </c>
      <c r="R75" s="34">
        <v>5.5</v>
      </c>
      <c r="S75" s="34">
        <v>18.7</v>
      </c>
      <c r="T75" s="34">
        <v>14</v>
      </c>
      <c r="U75" s="34">
        <v>12.5</v>
      </c>
      <c r="V75" s="142">
        <v>2.6</v>
      </c>
      <c r="W75" s="35">
        <v>1.8</v>
      </c>
      <c r="X75" s="34">
        <v>50.2</v>
      </c>
      <c r="Y75" s="34">
        <v>43.8</v>
      </c>
      <c r="Z75" s="34">
        <v>41</v>
      </c>
      <c r="AA75" s="34">
        <v>1.5</v>
      </c>
      <c r="AB75" s="34">
        <v>0.6</v>
      </c>
      <c r="AC75" s="34">
        <v>204.1</v>
      </c>
      <c r="AD75" s="34">
        <v>12.5</v>
      </c>
      <c r="AE75" s="34">
        <v>134.4</v>
      </c>
      <c r="AF75" s="34">
        <v>31.2</v>
      </c>
      <c r="AG75" s="42">
        <v>0.3</v>
      </c>
      <c r="AI75" s="38">
        <f>HLOOKUP('Diagramm Einzelkultur'!$B$67,$A$1:$AG$77,75,FALSE)</f>
        <v>1408.1</v>
      </c>
    </row>
    <row r="76" spans="1:35">
      <c r="A76" s="30">
        <v>75</v>
      </c>
      <c r="B76" s="31">
        <v>2021</v>
      </c>
      <c r="C76" s="31"/>
      <c r="D76" s="34">
        <v>1403.9</v>
      </c>
      <c r="E76" s="34">
        <v>546.70000000000005</v>
      </c>
      <c r="F76" s="34">
        <v>357.4</v>
      </c>
      <c r="G76" s="34">
        <v>152.6</v>
      </c>
      <c r="H76" s="34">
        <v>25.1</v>
      </c>
      <c r="I76" s="34">
        <v>20.9</v>
      </c>
      <c r="J76" s="34">
        <v>1.5</v>
      </c>
      <c r="K76" s="34">
        <v>807.1</v>
      </c>
      <c r="L76" s="34">
        <v>463.5</v>
      </c>
      <c r="M76" s="34">
        <v>222.1</v>
      </c>
      <c r="N76" s="34">
        <v>131.80000000000001</v>
      </c>
      <c r="O76" s="34">
        <v>57.6</v>
      </c>
      <c r="P76" s="34">
        <v>18.600000000000001</v>
      </c>
      <c r="Q76" s="34">
        <v>24.6</v>
      </c>
      <c r="R76" s="34">
        <v>4.9000000000000004</v>
      </c>
      <c r="S76" s="34">
        <v>19.5</v>
      </c>
      <c r="T76" s="34">
        <v>15.1</v>
      </c>
      <c r="U76" s="34">
        <v>13.7</v>
      </c>
      <c r="V76" s="142">
        <v>2.5</v>
      </c>
      <c r="W76" s="35">
        <v>1.7</v>
      </c>
      <c r="X76" s="34">
        <v>53.2</v>
      </c>
      <c r="Y76" s="34">
        <v>45.6</v>
      </c>
      <c r="Z76" s="34">
        <v>41.8</v>
      </c>
      <c r="AA76" s="34">
        <v>1.7</v>
      </c>
      <c r="AB76" s="34" t="s">
        <v>44</v>
      </c>
      <c r="AC76" s="34">
        <v>198.7</v>
      </c>
      <c r="AD76" s="34">
        <v>11.1</v>
      </c>
      <c r="AE76" s="34">
        <v>131.30000000000001</v>
      </c>
      <c r="AF76" s="34">
        <v>32.4</v>
      </c>
      <c r="AG76" s="42">
        <v>0.3</v>
      </c>
      <c r="AI76" s="38">
        <f>HLOOKUP('Diagramm Einzelkultur'!$B$67,$A$1:$AG$77,76,FALSE)</f>
        <v>1403.9</v>
      </c>
    </row>
    <row r="77" spans="1:35" ht="13.5" thickBot="1">
      <c r="A77" s="30">
        <v>76</v>
      </c>
      <c r="B77" s="31">
        <v>2022</v>
      </c>
      <c r="C77" s="31"/>
      <c r="D77" s="34">
        <v>1407.9</v>
      </c>
      <c r="E77" s="34">
        <v>545.6</v>
      </c>
      <c r="F77" s="34">
        <v>354.9</v>
      </c>
      <c r="G77" s="34">
        <v>152</v>
      </c>
      <c r="H77" s="34">
        <v>25.5</v>
      </c>
      <c r="I77" s="34">
        <v>21</v>
      </c>
      <c r="J77" s="34">
        <v>1.3</v>
      </c>
      <c r="K77" s="34">
        <v>811.2</v>
      </c>
      <c r="L77" s="34">
        <v>469.2</v>
      </c>
      <c r="M77" s="34">
        <v>218.9</v>
      </c>
      <c r="N77" s="34">
        <v>143.1</v>
      </c>
      <c r="O77" s="34">
        <v>56</v>
      </c>
      <c r="P77" s="34">
        <v>20.9</v>
      </c>
      <c r="Q77" s="34">
        <v>24.4</v>
      </c>
      <c r="R77" s="34">
        <v>5.3</v>
      </c>
      <c r="S77" s="34">
        <v>19</v>
      </c>
      <c r="T77" s="34">
        <v>14</v>
      </c>
      <c r="U77" s="34">
        <v>12.8</v>
      </c>
      <c r="V77" s="34"/>
      <c r="W77" s="34"/>
      <c r="X77" s="34">
        <v>59.6</v>
      </c>
      <c r="Y77" s="34">
        <v>51.7</v>
      </c>
      <c r="Z77" s="34">
        <v>47.3</v>
      </c>
      <c r="AA77" s="34">
        <v>1.5</v>
      </c>
      <c r="AB77" s="34" t="s">
        <v>44</v>
      </c>
      <c r="AC77" s="34">
        <v>191.6</v>
      </c>
      <c r="AD77" s="34">
        <v>11.7</v>
      </c>
      <c r="AE77" s="34">
        <v>126.3</v>
      </c>
      <c r="AF77" s="34">
        <v>30.5</v>
      </c>
      <c r="AG77" s="42">
        <v>0.3</v>
      </c>
      <c r="AI77" s="40">
        <f>HLOOKUP('Diagramm Einzelkultur'!$B$67,$A$1:$AG$77,77,FALSE)</f>
        <v>1407.9</v>
      </c>
    </row>
    <row r="78" spans="1:35">
      <c r="C78" t="s">
        <v>33</v>
      </c>
    </row>
    <row r="80" spans="1:35">
      <c r="B80" s="17" t="s">
        <v>23</v>
      </c>
      <c r="C80" s="17"/>
      <c r="D80" s="17"/>
      <c r="E80" s="17"/>
      <c r="F80" s="17"/>
      <c r="G80" s="17"/>
      <c r="H80" s="17"/>
      <c r="I80" s="17"/>
      <c r="J80" s="17"/>
    </row>
    <row r="81" spans="1:33">
      <c r="C81" s="15"/>
      <c r="D81" s="56">
        <v>1987</v>
      </c>
      <c r="E81" s="57">
        <v>1991</v>
      </c>
      <c r="F81" s="57">
        <v>1995</v>
      </c>
      <c r="G81" s="57">
        <v>1999</v>
      </c>
      <c r="H81" s="57">
        <v>2003</v>
      </c>
      <c r="I81" s="57">
        <v>2007</v>
      </c>
      <c r="J81" s="57">
        <v>2010</v>
      </c>
      <c r="K81" s="57">
        <v>2013</v>
      </c>
      <c r="L81" s="57">
        <v>2016</v>
      </c>
      <c r="M81" s="58">
        <v>2020</v>
      </c>
      <c r="N81" s="15"/>
      <c r="U81" s="15"/>
      <c r="V81" s="15"/>
      <c r="X81" s="15"/>
      <c r="Y81" s="15"/>
      <c r="Z81" s="15"/>
      <c r="AB81" s="15"/>
      <c r="AC81" s="15"/>
      <c r="AD81" s="15"/>
      <c r="AF81" s="15"/>
      <c r="AG81" s="15"/>
    </row>
    <row r="82" spans="1:33">
      <c r="D82" s="109">
        <f>$AI$42</f>
        <v>1502.6</v>
      </c>
      <c r="E82" s="110">
        <f>$AI$46</f>
        <v>1483.2</v>
      </c>
      <c r="F82" s="110">
        <f>$AI$50</f>
        <v>1446.9</v>
      </c>
      <c r="G82" s="110">
        <f>$AI$54</f>
        <v>1473.1179999999999</v>
      </c>
      <c r="H82" s="110">
        <f>$AI$58</f>
        <v>1452.682</v>
      </c>
      <c r="I82" s="110">
        <f>$AI$62</f>
        <v>1435.682</v>
      </c>
      <c r="J82" s="110">
        <f>$AI$65</f>
        <v>1410</v>
      </c>
      <c r="K82" s="110">
        <f>$AI$68</f>
        <v>1422.5</v>
      </c>
      <c r="L82" s="110">
        <f>$AI$71</f>
        <v>1415.98</v>
      </c>
      <c r="M82" s="111">
        <f>$AI$75</f>
        <v>1408.1</v>
      </c>
      <c r="N82" s="59">
        <f>M82-D82</f>
        <v>-94.5</v>
      </c>
    </row>
    <row r="83" spans="1:33">
      <c r="B83" s="1" t="s">
        <v>24</v>
      </c>
      <c r="C83" s="1"/>
      <c r="D83" s="1"/>
      <c r="E83" s="1"/>
      <c r="F83" s="1"/>
      <c r="G83" s="1"/>
      <c r="H83" s="1"/>
      <c r="I83" s="1"/>
      <c r="J83" s="1"/>
    </row>
    <row r="84" spans="1:33">
      <c r="D84" s="10">
        <v>1950</v>
      </c>
      <c r="E84" s="57">
        <v>1960</v>
      </c>
      <c r="F84" s="57">
        <v>1970</v>
      </c>
      <c r="G84" s="16">
        <v>1980</v>
      </c>
      <c r="H84" s="57">
        <v>1990</v>
      </c>
      <c r="I84" s="57">
        <v>2000</v>
      </c>
      <c r="J84" s="16">
        <v>2010</v>
      </c>
      <c r="K84" s="57">
        <v>2020</v>
      </c>
      <c r="L84" s="57"/>
      <c r="M84" s="11"/>
    </row>
    <row r="85" spans="1:33">
      <c r="D85" s="12">
        <f>AI5</f>
        <v>1970.184</v>
      </c>
      <c r="E85" s="5">
        <f>AI15</f>
        <v>1928.011</v>
      </c>
      <c r="F85" s="5">
        <f>AI25</f>
        <v>1811.5</v>
      </c>
      <c r="G85" s="5">
        <f>AI35</f>
        <v>1545.1</v>
      </c>
      <c r="H85" s="5">
        <f>AI45</f>
        <v>1490.4</v>
      </c>
      <c r="I85" s="5">
        <f>AI55</f>
        <v>1462.5</v>
      </c>
      <c r="J85" s="5">
        <f>AI65</f>
        <v>1410</v>
      </c>
      <c r="K85" s="110">
        <f>AI75</f>
        <v>1408.1</v>
      </c>
      <c r="L85" s="5"/>
      <c r="M85" s="6"/>
      <c r="N85">
        <f>IF(D85="*",K85-E85,K85-D85)</f>
        <v>-562.08400000000006</v>
      </c>
    </row>
    <row r="86" spans="1:33">
      <c r="B86" s="1" t="s">
        <v>26</v>
      </c>
      <c r="C86" s="1"/>
      <c r="D86" s="1"/>
      <c r="E86" s="1"/>
      <c r="F86" s="1"/>
      <c r="G86" s="1"/>
      <c r="H86" s="1"/>
      <c r="I86" s="1"/>
      <c r="J86" s="1"/>
    </row>
    <row r="87" spans="1:33">
      <c r="D87" s="10">
        <v>2011</v>
      </c>
      <c r="E87" s="16">
        <v>2012</v>
      </c>
      <c r="F87" s="16">
        <v>2013</v>
      </c>
      <c r="G87" s="16">
        <v>2014</v>
      </c>
      <c r="H87" s="16">
        <v>2015</v>
      </c>
      <c r="I87" s="16">
        <v>2016</v>
      </c>
      <c r="J87" s="16">
        <v>2017</v>
      </c>
      <c r="K87" s="16">
        <v>2018</v>
      </c>
      <c r="L87" s="16">
        <v>2019</v>
      </c>
      <c r="M87" s="11">
        <v>2020</v>
      </c>
    </row>
    <row r="88" spans="1:33">
      <c r="D88" s="109">
        <f>AI66</f>
        <v>1417.6</v>
      </c>
      <c r="E88" s="110">
        <f>AI67</f>
        <v>1420.7</v>
      </c>
      <c r="F88" s="110">
        <f>AI68</f>
        <v>1422.5</v>
      </c>
      <c r="G88" s="110">
        <f>AI69</f>
        <v>1422</v>
      </c>
      <c r="H88" s="110">
        <f>AI70</f>
        <v>1424.1</v>
      </c>
      <c r="I88" s="110">
        <f>AI71</f>
        <v>1415.98</v>
      </c>
      <c r="J88" s="110">
        <f>AI72</f>
        <v>1418.5</v>
      </c>
      <c r="K88" s="110">
        <f>AI73</f>
        <v>1413.4</v>
      </c>
      <c r="L88" s="110">
        <f>AI74</f>
        <v>1418.5</v>
      </c>
      <c r="M88" s="111">
        <f>AI75</f>
        <v>1408.1</v>
      </c>
      <c r="N88">
        <f>M88-D88</f>
        <v>-9.5</v>
      </c>
    </row>
    <row r="89" spans="1:33">
      <c r="B89" s="1" t="s">
        <v>27</v>
      </c>
      <c r="C89" s="1"/>
      <c r="D89" s="1"/>
      <c r="E89" s="1"/>
      <c r="F89" s="1"/>
      <c r="G89" s="1"/>
      <c r="H89" s="1"/>
      <c r="I89" s="1"/>
      <c r="J89" s="1"/>
    </row>
    <row r="90" spans="1:33">
      <c r="D90" s="10">
        <f>M90-9</f>
        <v>2013</v>
      </c>
      <c r="E90" s="16">
        <f>M90-8</f>
        <v>2014</v>
      </c>
      <c r="F90" s="16">
        <f>M90-7</f>
        <v>2015</v>
      </c>
      <c r="G90" s="16">
        <f>M90-6</f>
        <v>2016</v>
      </c>
      <c r="H90" s="16">
        <f>M90-5</f>
        <v>2017</v>
      </c>
      <c r="I90" s="16">
        <f>M90-4</f>
        <v>2018</v>
      </c>
      <c r="J90" s="16">
        <f>M90-3</f>
        <v>2019</v>
      </c>
      <c r="K90" s="16">
        <f>M90-2</f>
        <v>2020</v>
      </c>
      <c r="L90" s="16">
        <f>M90-1</f>
        <v>2021</v>
      </c>
      <c r="M90" s="60">
        <v>2022</v>
      </c>
    </row>
    <row r="91" spans="1:33">
      <c r="D91" s="109">
        <f>VLOOKUP(D90,$B$2:$AI$77,34)</f>
        <v>1422.5</v>
      </c>
      <c r="E91" s="110">
        <f t="shared" ref="E91:M91" si="3">VLOOKUP(E90,$B$2:$AI$77,34)</f>
        <v>1422</v>
      </c>
      <c r="F91" s="110">
        <f t="shared" si="3"/>
        <v>1424.1</v>
      </c>
      <c r="G91" s="110">
        <f t="shared" si="3"/>
        <v>1415.98</v>
      </c>
      <c r="H91" s="110">
        <f t="shared" si="3"/>
        <v>1418.5</v>
      </c>
      <c r="I91" s="110">
        <f t="shared" si="3"/>
        <v>1413.4</v>
      </c>
      <c r="J91" s="110">
        <f t="shared" si="3"/>
        <v>1418.5</v>
      </c>
      <c r="K91" s="110">
        <f t="shared" si="3"/>
        <v>1408.1</v>
      </c>
      <c r="L91" s="110">
        <f t="shared" si="3"/>
        <v>1403.9</v>
      </c>
      <c r="M91" s="111">
        <f t="shared" si="3"/>
        <v>1407.9</v>
      </c>
      <c r="N91" s="59">
        <f>M91-D91</f>
        <v>-14.599999999999909</v>
      </c>
    </row>
    <row r="93" spans="1:33" ht="13.7" customHeight="1">
      <c r="C93" s="54"/>
      <c r="D93" s="80">
        <f>IF('Diagramm Einzelkultur'!$G$67=1,'Daten Kulturen'!D81,IF('Diagramm Einzelkultur'!$G$67=2,'Daten Kulturen'!D84,IF('Diagramm Einzelkultur'!$G$67=3,'Daten Kulturen'!D87,IF('Diagramm Einzelkultur'!$G$67=4,'Daten Kulturen'!D90,0))))</f>
        <v>2013</v>
      </c>
      <c r="E93" s="81">
        <f>IF('Diagramm Einzelkultur'!$G$67=1,E81,IF('Diagramm Einzelkultur'!$G$67=2,'Daten Kulturen'!E84,IF('Diagramm Einzelkultur'!$G$67=3,'Daten Kulturen'!E87,IF('Diagramm Einzelkultur'!$G$67=4,'Daten Kulturen'!E90,0))))</f>
        <v>2014</v>
      </c>
      <c r="F93" s="81">
        <f>IF('Diagramm Einzelkultur'!$G$67=1,F81,IF('Diagramm Einzelkultur'!$G$67=2,'Daten Kulturen'!F84,IF('Diagramm Einzelkultur'!$G$67=3,'Daten Kulturen'!F87,IF('Diagramm Einzelkultur'!$G$67=4,'Daten Kulturen'!F90,0))))</f>
        <v>2015</v>
      </c>
      <c r="G93" s="81">
        <f>IF('Diagramm Einzelkultur'!$G$67=1,G81,IF('Diagramm Einzelkultur'!$G$67=2,'Daten Kulturen'!G84,IF('Diagramm Einzelkultur'!$G$67=3,'Daten Kulturen'!G87,IF('Diagramm Einzelkultur'!$G$67=4,'Daten Kulturen'!G90,0))))</f>
        <v>2016</v>
      </c>
      <c r="H93" s="81">
        <f>IF('Diagramm Einzelkultur'!$G$67=1,H81,IF('Diagramm Einzelkultur'!$G$67=2,'Daten Kulturen'!H84,IF('Diagramm Einzelkultur'!$G$67=3,'Daten Kulturen'!H87,IF('Diagramm Einzelkultur'!$G$67=4,'Daten Kulturen'!H90,0))))</f>
        <v>2017</v>
      </c>
      <c r="I93" s="81">
        <f>IF('Diagramm Einzelkultur'!$G$67=1,I81,IF('Diagramm Einzelkultur'!$G$67=2,'Daten Kulturen'!I84,IF('Diagramm Einzelkultur'!$G$67=3,'Daten Kulturen'!I87,IF('Diagramm Einzelkultur'!$G$67=4,'Daten Kulturen'!I90,0))))</f>
        <v>2018</v>
      </c>
      <c r="J93" s="81">
        <f>IF('Diagramm Einzelkultur'!$G$67=1,J81,IF('Diagramm Einzelkultur'!$G$67=2,'Daten Kulturen'!J84,IF('Diagramm Einzelkultur'!$G$67=3,'Daten Kulturen'!J87,IF('Diagramm Einzelkultur'!$G$67=4,'Daten Kulturen'!J90,0))))</f>
        <v>2019</v>
      </c>
      <c r="K93" s="81">
        <f>IF('Diagramm Einzelkultur'!$G$67=1,K81,IF('Diagramm Einzelkultur'!$G$67=2,'Daten Kulturen'!K84,IF('Diagramm Einzelkultur'!$G$67=3,'Daten Kulturen'!K87,IF('Diagramm Einzelkultur'!$G$67=4,'Daten Kulturen'!K90,0))))</f>
        <v>2020</v>
      </c>
      <c r="L93" s="81">
        <f>IF('Diagramm Einzelkultur'!$G$67=1,L81,IF('Diagramm Einzelkultur'!$G$67=2,'Daten Kulturen'!L84,IF('Diagramm Einzelkultur'!$G$67=3,'Daten Kulturen'!L87,IF('Diagramm Einzelkultur'!$G$67=4,'Daten Kulturen'!L90,""))))</f>
        <v>2021</v>
      </c>
      <c r="M93" s="82">
        <f>IF('Diagramm Einzelkultur'!$G$67=1,M81,IF('Diagramm Einzelkultur'!$G$67=2,'Daten Kulturen'!M84,IF('Diagramm Einzelkultur'!$G$67=3,'Daten Kulturen'!M87,IF('Diagramm Einzelkultur'!$G$67=4,'Daten Kulturen'!M90,""))))</f>
        <v>2022</v>
      </c>
      <c r="N93" s="41"/>
    </row>
    <row r="94" spans="1:33" ht="13.7" customHeight="1">
      <c r="C94" s="55"/>
      <c r="D94" s="114">
        <f>IF('Diagramm Einzelkultur'!$G$67=1,'Daten Kulturen'!D82,IF('Diagramm Einzelkultur'!$G$67=2,'Daten Kulturen'!D85,IF('Diagramm Einzelkultur'!$G$67=3,'Daten Kulturen'!D88,IF('Diagramm Einzelkultur'!$G$67=4,'Daten Kulturen'!D91,0))))</f>
        <v>1422.5</v>
      </c>
      <c r="E94" s="115">
        <f>IF('Diagramm Einzelkultur'!$G$67=1,E82,IF('Diagramm Einzelkultur'!$G$67=2,'Daten Kulturen'!E85,IF('Diagramm Einzelkultur'!$G$67=3,'Daten Kulturen'!E88,IF('Diagramm Einzelkultur'!$G$67=4,'Daten Kulturen'!E91,0))))</f>
        <v>1422</v>
      </c>
      <c r="F94" s="115">
        <f>IF('Diagramm Einzelkultur'!$G$67=1,F82,IF('Diagramm Einzelkultur'!$G$67=2,'Daten Kulturen'!F85,IF('Diagramm Einzelkultur'!$G$67=3,'Daten Kulturen'!F88,IF('Diagramm Einzelkultur'!$G$67=4,'Daten Kulturen'!F91,0))))</f>
        <v>1424.1</v>
      </c>
      <c r="G94" s="115">
        <f>IF('Diagramm Einzelkultur'!$G$67=1,'Daten Kulturen'!G82,IF('Diagramm Einzelkultur'!$G$67=2,'Daten Kulturen'!G85,IF('Diagramm Einzelkultur'!$G$67=3,'Daten Kulturen'!G88,IF('Diagramm Einzelkultur'!$G$67=4,'Daten Kulturen'!G91,0))))</f>
        <v>1415.98</v>
      </c>
      <c r="H94" s="115">
        <f>IF('Diagramm Einzelkultur'!$G$67=1,'Daten Kulturen'!H82,IF('Diagramm Einzelkultur'!$G$67=2,'Daten Kulturen'!H85,IF('Diagramm Einzelkultur'!$G$67=3,'Daten Kulturen'!H88,IF('Diagramm Einzelkultur'!$G$67=4,'Daten Kulturen'!H91,0))))</f>
        <v>1418.5</v>
      </c>
      <c r="I94" s="115">
        <f>IF('Diagramm Einzelkultur'!$G$67=1,'Daten Kulturen'!I82,IF('Diagramm Einzelkultur'!$G$67=2,'Daten Kulturen'!I85,IF('Diagramm Einzelkultur'!$G$67=3,'Daten Kulturen'!I88,IF('Diagramm Einzelkultur'!$G$67=4,'Daten Kulturen'!I91,0))))</f>
        <v>1413.4</v>
      </c>
      <c r="J94" s="115">
        <f>IF('Diagramm Einzelkultur'!$G$67=1,'Daten Kulturen'!J82,IF('Diagramm Einzelkultur'!$G$67=2,'Daten Kulturen'!J85,IF('Diagramm Einzelkultur'!$G$67=3,'Daten Kulturen'!J88,IF('Diagramm Einzelkultur'!$G$67=4,'Daten Kulturen'!J91,0))))</f>
        <v>1418.5</v>
      </c>
      <c r="K94" s="115">
        <f>IF('Diagramm Einzelkultur'!$G$67=1,'Daten Kulturen'!K82,IF('Diagramm Einzelkultur'!$G$67=2,'Daten Kulturen'!K85,IF('Diagramm Einzelkultur'!$G$67=3,'Daten Kulturen'!K88,IF('Diagramm Einzelkultur'!$G$67=4,'Daten Kulturen'!K91,0))))</f>
        <v>1408.1</v>
      </c>
      <c r="L94" s="115">
        <f>IF('Diagramm Einzelkultur'!$G$67=1,'Daten Kulturen'!L82,IF('Diagramm Einzelkultur'!$G$67=2,'Daten Kulturen'!L85,IF('Diagramm Einzelkultur'!$G$67=3,'Daten Kulturen'!L88,IF('Diagramm Einzelkultur'!$G$67=4,'Daten Kulturen'!L91,0))))</f>
        <v>1403.9</v>
      </c>
      <c r="M94" s="116">
        <f>IF('Diagramm Einzelkultur'!$G$67=1,'Daten Kulturen'!M82,IF('Diagramm Einzelkultur'!$G$67=2,'Daten Kulturen'!M85,IF('Diagramm Einzelkultur'!$G$67=3,'Daten Kulturen'!M88,IF('Diagramm Einzelkultur'!$G$67=4,'Daten Kulturen'!M91,""))))</f>
        <v>1407.9</v>
      </c>
      <c r="N94" s="37">
        <f>IF('Diagramm Einzelkultur'!G67=1,'Daten Kulturen'!N82,IF('Diagramm Einzelkultur'!G67=2,'Daten Kulturen'!N85,IF('Diagramm Einzelkultur'!G67=3,'Daten Kulturen'!N88,IF('Diagramm Einzelkultur'!G67=4,'Daten Kulturen'!N91,""))))</f>
        <v>-14.599999999999909</v>
      </c>
      <c r="U94" s="45"/>
      <c r="V94" s="45"/>
    </row>
    <row r="95" spans="1:33" ht="13.7" customHeight="1" thickBot="1"/>
    <row r="96" spans="1:33" ht="13.7" customHeight="1">
      <c r="A96" s="23"/>
      <c r="B96" s="24"/>
      <c r="C96" s="24"/>
      <c r="D96" s="24" t="s">
        <v>25</v>
      </c>
      <c r="E96" s="24" t="s">
        <v>1</v>
      </c>
      <c r="F96" s="24" t="s">
        <v>6</v>
      </c>
      <c r="G96" s="24" t="s">
        <v>7</v>
      </c>
      <c r="H96" s="43" t="s">
        <v>11</v>
      </c>
      <c r="I96" s="24" t="s">
        <v>8</v>
      </c>
      <c r="J96" s="25" t="s">
        <v>9</v>
      </c>
    </row>
    <row r="97" spans="1:77" ht="13.7" customHeight="1" thickBot="1">
      <c r="A97" s="26">
        <v>43</v>
      </c>
      <c r="B97" s="27">
        <f>A97+32</f>
        <v>75</v>
      </c>
      <c r="C97" s="27"/>
      <c r="D97" s="27">
        <f>VLOOKUP(B97,$A$34:$AG$77,11,FALSE)</f>
        <v>807.1</v>
      </c>
      <c r="E97" s="27">
        <f>VLOOKUP(B97,$A$34:$AG$77,12,FALSE)</f>
        <v>463.5</v>
      </c>
      <c r="F97" s="27">
        <f>VLOOKUP(B97,$A$34:$AG$77,17,FALSE)</f>
        <v>24.6</v>
      </c>
      <c r="G97" s="27">
        <f>VLOOKUP(B97,$A$34:$AG$77,16,FALSE)</f>
        <v>18.600000000000001</v>
      </c>
      <c r="H97" s="27">
        <f>VLOOKUP(B97,$A$34:$AG$77,24,FALSE)</f>
        <v>53.2</v>
      </c>
      <c r="I97" s="27">
        <f>VLOOKUP(B97,$A$34:$AG$77,29,FALSE)</f>
        <v>198.7</v>
      </c>
      <c r="J97" s="28">
        <f>VLOOKUP(B97,$A$34:$AG$77,32,FALSE)</f>
        <v>32.4</v>
      </c>
    </row>
    <row r="98" spans="1:77" ht="13.7" customHeight="1">
      <c r="D98" s="59">
        <v>100</v>
      </c>
      <c r="E98" s="59">
        <f t="shared" ref="E98:J98" si="4">E97/$D$97%</f>
        <v>57.42782802626688</v>
      </c>
      <c r="F98" s="59">
        <f t="shared" si="4"/>
        <v>3.047949448643291</v>
      </c>
      <c r="G98" s="59">
        <f t="shared" si="4"/>
        <v>2.3045471440961469</v>
      </c>
      <c r="H98" s="59">
        <f t="shared" si="4"/>
        <v>6.591500433651345</v>
      </c>
      <c r="I98" s="59">
        <f t="shared" si="4"/>
        <v>24.619006318919588</v>
      </c>
      <c r="J98" s="59">
        <f t="shared" si="4"/>
        <v>4.0143724445545779</v>
      </c>
    </row>
    <row r="99" spans="1:77" ht="13.7" customHeight="1"/>
    <row r="100" spans="1:77" ht="13.7" customHeight="1">
      <c r="B100" t="s">
        <v>37</v>
      </c>
    </row>
    <row r="101" spans="1:77" ht="13.7" customHeight="1">
      <c r="Q101">
        <v>0</v>
      </c>
      <c r="R101">
        <v>0</v>
      </c>
      <c r="S101">
        <v>0</v>
      </c>
    </row>
    <row r="102" spans="1:77" ht="13.7" customHeight="1">
      <c r="D102" s="10">
        <v>1949</v>
      </c>
      <c r="E102" s="16">
        <v>1950</v>
      </c>
      <c r="F102" s="16">
        <v>1951</v>
      </c>
      <c r="G102" s="16">
        <v>1952</v>
      </c>
      <c r="H102" s="16">
        <v>1953</v>
      </c>
      <c r="I102" s="16">
        <v>1954</v>
      </c>
      <c r="J102" s="16">
        <v>1955</v>
      </c>
      <c r="K102" s="16">
        <v>1956</v>
      </c>
      <c r="L102" s="16">
        <v>1957</v>
      </c>
      <c r="M102" s="16">
        <v>1958</v>
      </c>
      <c r="N102" s="16">
        <v>1959</v>
      </c>
      <c r="O102" s="16">
        <v>1960</v>
      </c>
      <c r="P102" s="16">
        <v>1961</v>
      </c>
      <c r="Q102" s="16">
        <v>1962</v>
      </c>
      <c r="R102" s="16">
        <v>1963</v>
      </c>
      <c r="S102" s="16">
        <v>1964</v>
      </c>
      <c r="T102" s="16">
        <v>1965</v>
      </c>
      <c r="U102" s="16">
        <v>1966</v>
      </c>
      <c r="V102" s="16">
        <v>1967</v>
      </c>
      <c r="W102" s="16">
        <v>1968</v>
      </c>
      <c r="X102" s="16">
        <v>1969</v>
      </c>
      <c r="Y102" s="16">
        <v>1970</v>
      </c>
      <c r="Z102" s="16">
        <v>1971</v>
      </c>
      <c r="AA102" s="16">
        <v>1972</v>
      </c>
      <c r="AB102" s="16">
        <v>1973</v>
      </c>
      <c r="AC102" s="16">
        <v>1974</v>
      </c>
      <c r="AD102" s="16">
        <v>1975</v>
      </c>
      <c r="AE102" s="16">
        <v>1976</v>
      </c>
      <c r="AF102" s="16">
        <v>1977</v>
      </c>
      <c r="AG102" s="16">
        <v>1978</v>
      </c>
      <c r="AH102" s="16">
        <v>1979</v>
      </c>
      <c r="AI102" s="16">
        <v>1980</v>
      </c>
      <c r="AJ102" s="16">
        <v>1981</v>
      </c>
      <c r="AK102" s="16">
        <v>1982</v>
      </c>
      <c r="AL102" s="16">
        <v>1983</v>
      </c>
      <c r="AM102" s="16">
        <v>1984</v>
      </c>
      <c r="AN102" s="16">
        <v>1985</v>
      </c>
      <c r="AO102" s="16">
        <v>1986</v>
      </c>
      <c r="AP102" s="16">
        <v>1987</v>
      </c>
      <c r="AQ102" s="16">
        <v>1988</v>
      </c>
      <c r="AR102" s="16">
        <v>1989</v>
      </c>
      <c r="AS102" s="16">
        <v>1990</v>
      </c>
      <c r="AT102" s="16">
        <v>1991</v>
      </c>
      <c r="AU102" s="16">
        <v>1992</v>
      </c>
      <c r="AV102" s="16">
        <v>1993</v>
      </c>
      <c r="AW102" s="16">
        <v>1994</v>
      </c>
      <c r="AX102" s="16">
        <v>1995</v>
      </c>
      <c r="AY102" s="16">
        <v>1996</v>
      </c>
      <c r="AZ102" s="16">
        <v>1997</v>
      </c>
      <c r="BA102" s="16">
        <v>1998</v>
      </c>
      <c r="BB102" s="16">
        <v>1999</v>
      </c>
      <c r="BC102" s="16">
        <v>2000</v>
      </c>
      <c r="BD102" s="16">
        <v>2001</v>
      </c>
      <c r="BE102" s="16">
        <v>2002</v>
      </c>
      <c r="BF102" s="16">
        <v>2003</v>
      </c>
      <c r="BG102" s="16">
        <v>2004</v>
      </c>
      <c r="BH102" s="16">
        <v>2005</v>
      </c>
      <c r="BI102" s="16">
        <v>2006</v>
      </c>
      <c r="BJ102" s="16">
        <v>2007</v>
      </c>
      <c r="BK102" s="16">
        <v>2008</v>
      </c>
      <c r="BL102" s="16">
        <v>2009</v>
      </c>
      <c r="BM102" s="16">
        <v>2010</v>
      </c>
      <c r="BN102" s="16">
        <v>2011</v>
      </c>
      <c r="BO102" s="11">
        <v>2012</v>
      </c>
      <c r="BP102" s="11">
        <v>2013</v>
      </c>
      <c r="BQ102" s="11">
        <v>2014</v>
      </c>
      <c r="BR102" s="11">
        <v>2015</v>
      </c>
      <c r="BS102" s="11">
        <v>2016</v>
      </c>
      <c r="BT102" s="11">
        <v>2017</v>
      </c>
      <c r="BU102" s="11">
        <v>2018</v>
      </c>
      <c r="BV102" s="11">
        <v>2019</v>
      </c>
      <c r="BW102" s="11">
        <v>2020</v>
      </c>
      <c r="BX102" s="11">
        <v>2021</v>
      </c>
      <c r="BY102" s="11">
        <v>2022</v>
      </c>
    </row>
    <row r="103" spans="1:77" ht="13.7" customHeight="1">
      <c r="D103" s="109">
        <f>$AI4</f>
        <v>1893.953</v>
      </c>
      <c r="E103" s="110">
        <f>$AI5</f>
        <v>1970.184</v>
      </c>
      <c r="F103" s="110">
        <f>$AI6</f>
        <v>1977.979</v>
      </c>
      <c r="G103" s="110">
        <f>$AI7</f>
        <v>1971.47</v>
      </c>
      <c r="H103" s="110">
        <f>$AI8</f>
        <v>1967.1210000000001</v>
      </c>
      <c r="I103" s="110">
        <f>$AI9</f>
        <v>1970.828</v>
      </c>
      <c r="J103" s="110">
        <f>$AI10</f>
        <v>1954.5930000000001</v>
      </c>
      <c r="K103" s="110">
        <f>$AI11</f>
        <v>1954.5550000000001</v>
      </c>
      <c r="L103" s="110">
        <f>$AI12</f>
        <v>1950.2950000000001</v>
      </c>
      <c r="M103" s="110">
        <f>$AI13</f>
        <v>1946.8969999999999</v>
      </c>
      <c r="N103" s="110">
        <f>$AI14</f>
        <v>1939.9939999999999</v>
      </c>
      <c r="O103" s="110">
        <f>$AI15</f>
        <v>1928.011</v>
      </c>
      <c r="P103" s="110">
        <f>$AI16</f>
        <v>1919.6469999999999</v>
      </c>
      <c r="Q103" s="110">
        <f>$AI17</f>
        <v>1909.489</v>
      </c>
      <c r="R103" s="110">
        <f>$AI18</f>
        <v>1902.8150000000001</v>
      </c>
      <c r="S103" s="110">
        <f>$AI19</f>
        <v>1894.6759999999999</v>
      </c>
      <c r="T103" s="110">
        <f>$AI20</f>
        <v>1886.1</v>
      </c>
      <c r="U103" s="110">
        <f>$AI21</f>
        <v>1878.213</v>
      </c>
      <c r="V103" s="110">
        <f>$AI22</f>
        <v>1872.9760000000001</v>
      </c>
      <c r="W103" s="110">
        <f>$AI23</f>
        <v>1861.3050000000001</v>
      </c>
      <c r="X103" s="110">
        <f>$AI24</f>
        <v>1852.6</v>
      </c>
      <c r="Y103" s="110">
        <f>$AI25</f>
        <v>1811.5</v>
      </c>
      <c r="Z103" s="110">
        <f>$AI26</f>
        <v>1762.9</v>
      </c>
      <c r="AA103" s="110">
        <f>$AI27</f>
        <v>1761.1</v>
      </c>
      <c r="AB103" s="110">
        <f>$AI28</f>
        <v>1752.4580000000001</v>
      </c>
      <c r="AC103" s="110">
        <f>$AI29</f>
        <v>1739.7049999999999</v>
      </c>
      <c r="AD103" s="110">
        <f>$AI30</f>
        <v>1735.3030000000001</v>
      </c>
      <c r="AE103" s="110">
        <f>$AI31</f>
        <v>1730.501</v>
      </c>
      <c r="AF103" s="110">
        <f>$AI32</f>
        <v>1717.2439999999999</v>
      </c>
      <c r="AG103" s="110">
        <f>$AI33</f>
        <v>1716.2070000000001</v>
      </c>
      <c r="AH103" s="110">
        <f>$AI34</f>
        <v>1548</v>
      </c>
      <c r="AI103" s="110">
        <f>$AI35</f>
        <v>1545.1</v>
      </c>
      <c r="AJ103" s="110">
        <f>$AI36</f>
        <v>1539.1</v>
      </c>
      <c r="AK103" s="110">
        <f>$AI37</f>
        <v>1532.7</v>
      </c>
      <c r="AL103" s="110">
        <f>$AI38</f>
        <v>1524.8</v>
      </c>
      <c r="AM103" s="110">
        <f>$AI39</f>
        <v>1519.9</v>
      </c>
      <c r="AN103" s="110">
        <f>$AI40</f>
        <v>1515.3</v>
      </c>
      <c r="AO103" s="110">
        <f>$AI41</f>
        <v>1509.9</v>
      </c>
      <c r="AP103" s="110">
        <f>$AI42</f>
        <v>1502.6</v>
      </c>
      <c r="AQ103" s="110">
        <f>$AI43</f>
        <v>1497.8</v>
      </c>
      <c r="AR103" s="110">
        <f>$AI44</f>
        <v>1493.5</v>
      </c>
      <c r="AS103" s="110">
        <f>$AI45</f>
        <v>1490.4</v>
      </c>
      <c r="AT103" s="110">
        <f>$AI46</f>
        <v>1483.2</v>
      </c>
      <c r="AU103" s="110">
        <f>$AI47</f>
        <v>1481.9</v>
      </c>
      <c r="AV103" s="110">
        <f>$AI48</f>
        <v>1484.7</v>
      </c>
      <c r="AW103" s="110">
        <f>$AI49</f>
        <v>1483.3</v>
      </c>
      <c r="AX103" s="110">
        <f>$AI50</f>
        <v>1446.9</v>
      </c>
      <c r="AY103" s="110">
        <f>$AI51</f>
        <v>1475.4</v>
      </c>
      <c r="AZ103" s="110">
        <f>$AI52</f>
        <v>1469.6</v>
      </c>
      <c r="BA103" s="110">
        <f>$AI53</f>
        <v>1496.8</v>
      </c>
      <c r="BB103" s="110">
        <f>$AI54</f>
        <v>1473.1179999999999</v>
      </c>
      <c r="BC103" s="110">
        <f>$AI55</f>
        <v>1462.5</v>
      </c>
      <c r="BD103" s="110">
        <f>$AI56</f>
        <v>1465.2860000000001</v>
      </c>
      <c r="BE103" s="110">
        <f>$AI57</f>
        <v>1456.7</v>
      </c>
      <c r="BF103" s="110">
        <f>$AI58</f>
        <v>1452.682</v>
      </c>
      <c r="BG103" s="110">
        <f>$AI59</f>
        <v>1444.4</v>
      </c>
      <c r="BH103" s="110">
        <f>$AI60</f>
        <v>1446.4639999999999</v>
      </c>
      <c r="BI103" s="110">
        <f>$AI61</f>
        <v>1437.2</v>
      </c>
      <c r="BJ103" s="110">
        <f>$AI62</f>
        <v>1435.682</v>
      </c>
      <c r="BK103" s="110">
        <f>$AI63</f>
        <v>1440.5</v>
      </c>
      <c r="BL103" s="110">
        <f>$AI64</f>
        <v>1432.8</v>
      </c>
      <c r="BM103" s="110">
        <f>$AI65</f>
        <v>1410</v>
      </c>
      <c r="BN103" s="110">
        <f>$AI66</f>
        <v>1417.6</v>
      </c>
      <c r="BO103" s="111">
        <f>$AI67</f>
        <v>1420.7</v>
      </c>
      <c r="BP103" s="111">
        <f>$AI68</f>
        <v>1422.5</v>
      </c>
      <c r="BQ103" s="111">
        <f>$AI69</f>
        <v>1422</v>
      </c>
      <c r="BR103" s="111">
        <f>$AI70</f>
        <v>1424.1</v>
      </c>
      <c r="BS103" s="111">
        <f>$AI71</f>
        <v>1415.98</v>
      </c>
      <c r="BT103" s="111">
        <f>$AI72</f>
        <v>1418.5</v>
      </c>
      <c r="BU103" s="111">
        <f>$AI73</f>
        <v>1413.4</v>
      </c>
      <c r="BV103" s="111">
        <f>$AI74</f>
        <v>1418.5</v>
      </c>
      <c r="BW103" s="111">
        <f>$AI75</f>
        <v>1408.1</v>
      </c>
      <c r="BX103" s="111">
        <f>$AI76</f>
        <v>1403.9</v>
      </c>
      <c r="BY103" s="111">
        <f>$AI77</f>
        <v>1407.9</v>
      </c>
    </row>
    <row r="104" spans="1:77" ht="13.7" customHeight="1"/>
    <row r="105" spans="1:77" ht="13.7" customHeight="1">
      <c r="D105" s="20">
        <f>LOOKUP(9,1/103:103,103:103)</f>
        <v>1407.9</v>
      </c>
      <c r="E105" s="1" t="s">
        <v>48</v>
      </c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</row>
    <row r="106" spans="1:77" ht="13.7" customHeight="1">
      <c r="D106" s="20">
        <f t="array" ref="D106">INDEX(D103:M103,MATCH(TRUE,ISNUMBER(D103:M103),0))</f>
        <v>1893.953</v>
      </c>
      <c r="E106" s="1" t="s">
        <v>49</v>
      </c>
    </row>
    <row r="107" spans="1:77" ht="13.7" customHeight="1">
      <c r="D107" s="20">
        <f>D105-D106</f>
        <v>-486.05299999999988</v>
      </c>
      <c r="E107" s="1" t="s">
        <v>50</v>
      </c>
    </row>
    <row r="108" spans="1:77" ht="13.7" customHeight="1">
      <c r="F108" s="113"/>
      <c r="G108" s="1"/>
      <c r="I108" s="108"/>
    </row>
    <row r="109" spans="1:77">
      <c r="I109" s="108"/>
    </row>
    <row r="110" spans="1:77">
      <c r="F110" s="1"/>
      <c r="G110" s="1"/>
      <c r="H110" s="1"/>
      <c r="I110" s="1"/>
    </row>
    <row r="111" spans="1:77">
      <c r="F111" s="1"/>
      <c r="G111" s="1"/>
      <c r="H111" s="1"/>
      <c r="I111" s="1"/>
    </row>
    <row r="112" spans="1:77">
      <c r="G112" s="1"/>
      <c r="H112" s="1"/>
      <c r="I112" s="1"/>
    </row>
    <row r="113" spans="7:9">
      <c r="G113" s="1"/>
      <c r="H113" s="1"/>
      <c r="I113" s="1"/>
    </row>
    <row r="114" spans="7:9">
      <c r="G114" s="1"/>
      <c r="H114" s="1"/>
      <c r="I114" s="1"/>
    </row>
    <row r="115" spans="7:9">
      <c r="G115" s="1"/>
      <c r="H115" s="1"/>
      <c r="I115" s="1"/>
    </row>
    <row r="116" spans="7:9">
      <c r="G116" s="1"/>
      <c r="H116" s="1"/>
      <c r="I116" s="1"/>
    </row>
  </sheetData>
  <printOptions horizontalCentered="1" verticalCentered="1"/>
  <pageMargins left="0.59055118110236227" right="0.59055118110236227" top="0.59055118110236227" bottom="0.59055118110236227" header="0.51181102362204722" footer="0.39370078740157483"/>
  <pageSetup paperSize="8" scale="70" orientation="landscape" r:id="rId1"/>
  <headerFooter alignWithMargins="0"/>
  <colBreaks count="1" manualBreakCount="1">
    <brk id="30" max="1048575" man="1"/>
  </colBreaks>
  <cellWatches>
    <cellWatch r="D93"/>
    <cellWatch r="E93"/>
    <cellWatch r="F93"/>
    <cellWatch r="G93"/>
    <cellWatch r="H93"/>
    <cellWatch r="I93"/>
    <cellWatch r="J93"/>
    <cellWatch r="K93"/>
    <cellWatch r="L93"/>
    <cellWatch r="D94"/>
    <cellWatch r="E94"/>
    <cellWatch r="F94"/>
    <cellWatch r="G94"/>
    <cellWatch r="H94"/>
    <cellWatch r="I94"/>
    <cellWatch r="J94"/>
    <cellWatch r="K94"/>
    <cellWatch r="L94"/>
  </cellWatche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Diagramm Einzelkultur</vt:lpstr>
      <vt:lpstr>Diagramm Verteilung</vt:lpstr>
      <vt:lpstr>Daten Kulturen</vt:lpstr>
      <vt:lpstr>'Daten Kulturen'!Druckbereich</vt:lpstr>
      <vt:lpstr>'Diagramm Einzelkultur'!Druckbereich</vt:lpstr>
      <vt:lpstr>'Diagramm Verteilung'!Druckbereich</vt:lpstr>
    </vt:vector>
  </TitlesOfParts>
  <Company>EBZI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MuellerR</dc:creator>
  <cp:lastModifiedBy>Stock, Martina (LEL-SG)</cp:lastModifiedBy>
  <cp:lastPrinted>2016-12-08T13:25:05Z</cp:lastPrinted>
  <dcterms:created xsi:type="dcterms:W3CDTF">2010-09-10T10:01:08Z</dcterms:created>
  <dcterms:modified xsi:type="dcterms:W3CDTF">2022-08-17T09:32:12Z</dcterms:modified>
</cp:coreProperties>
</file>